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0" windowWidth="9180" windowHeight="4500" activeTab="4"/>
  </bookViews>
  <sheets>
    <sheet name="1" sheetId="1" r:id="rId1"/>
    <sheet name="2" sheetId="2" r:id="rId2"/>
    <sheet name="3" sheetId="3" r:id="rId3"/>
    <sheet name="4" sheetId="4" r:id="rId4"/>
    <sheet name="5" sheetId="5" r:id="rId5"/>
    <sheet name="récap" sheetId="6" r:id="rId6"/>
  </sheets>
  <definedNames/>
  <calcPr fullCalcOnLoad="1"/>
</workbook>
</file>

<file path=xl/sharedStrings.xml><?xml version="1.0" encoding="utf-8"?>
<sst xmlns="http://schemas.openxmlformats.org/spreadsheetml/2006/main" count="383" uniqueCount="174">
  <si>
    <t>CH</t>
  </si>
  <si>
    <t>Secteur</t>
  </si>
  <si>
    <t>Liai.</t>
  </si>
  <si>
    <t>Timing</t>
  </si>
  <si>
    <t>N°</t>
  </si>
  <si>
    <t>Nom</t>
  </si>
  <si>
    <t>de</t>
  </si>
  <si>
    <t>à</t>
  </si>
  <si>
    <t>km</t>
  </si>
  <si>
    <t>moy</t>
  </si>
  <si>
    <t>temps</t>
  </si>
  <si>
    <t>KM</t>
  </si>
  <si>
    <t>M H</t>
  </si>
  <si>
    <t>M B</t>
  </si>
  <si>
    <t>PDT</t>
  </si>
  <si>
    <t>Stelvio</t>
  </si>
  <si>
    <t>CH 1</t>
  </si>
  <si>
    <t>RT 2</t>
  </si>
  <si>
    <t xml:space="preserve"> </t>
  </si>
  <si>
    <t>RT 3</t>
  </si>
  <si>
    <t>Bormio</t>
  </si>
  <si>
    <t>RT 4</t>
  </si>
  <si>
    <t>Tirano</t>
  </si>
  <si>
    <t>RT 5</t>
  </si>
  <si>
    <t>monte Padrio</t>
  </si>
  <si>
    <t>RT 6</t>
  </si>
  <si>
    <t>RT 7</t>
  </si>
  <si>
    <t>Monno</t>
  </si>
  <si>
    <t>Monno break</t>
  </si>
  <si>
    <t>RT 8</t>
  </si>
  <si>
    <t>RT 9</t>
  </si>
  <si>
    <t>Dambel</t>
  </si>
  <si>
    <t>CH 2</t>
  </si>
  <si>
    <t>Lago Caldaro</t>
  </si>
  <si>
    <t>in</t>
  </si>
  <si>
    <t>out</t>
  </si>
  <si>
    <t>Moy.</t>
  </si>
  <si>
    <t>Temps</t>
  </si>
  <si>
    <t>CH 3</t>
  </si>
  <si>
    <t>RT 10</t>
  </si>
  <si>
    <t>RT 11</t>
  </si>
  <si>
    <t>Cornedo</t>
  </si>
  <si>
    <t>RT 12</t>
  </si>
  <si>
    <t>Brumau</t>
  </si>
  <si>
    <t>RT 13</t>
  </si>
  <si>
    <t>Tires</t>
  </si>
  <si>
    <t>RT 14</t>
  </si>
  <si>
    <t>p Nigra</t>
  </si>
  <si>
    <t>RT 15</t>
  </si>
  <si>
    <t>p Costalunga</t>
  </si>
  <si>
    <t>RT 16</t>
  </si>
  <si>
    <t>p Pordöi</t>
  </si>
  <si>
    <t>RT 17</t>
  </si>
  <si>
    <t>Arabba</t>
  </si>
  <si>
    <t>RT 18</t>
  </si>
  <si>
    <t>p Giau</t>
  </si>
  <si>
    <t>RT 19</t>
  </si>
  <si>
    <t>p Tre Croci</t>
  </si>
  <si>
    <t>RT 20</t>
  </si>
  <si>
    <t>Danta</t>
  </si>
  <si>
    <t>RT 21</t>
  </si>
  <si>
    <t>RT 22</t>
  </si>
  <si>
    <t>Sauris</t>
  </si>
  <si>
    <t>RT 23</t>
  </si>
  <si>
    <t>p Rest</t>
  </si>
  <si>
    <t>RT 24</t>
  </si>
  <si>
    <t>Préone</t>
  </si>
  <si>
    <t>RT 25</t>
  </si>
  <si>
    <t>Chiassis</t>
  </si>
  <si>
    <t>RT 26</t>
  </si>
  <si>
    <t>M Zoncolan</t>
  </si>
  <si>
    <t>CH 4</t>
  </si>
  <si>
    <t>D Zoncolan</t>
  </si>
  <si>
    <t>Paluzza in</t>
  </si>
  <si>
    <t>Paluzza out</t>
  </si>
  <si>
    <t>Paluzza Out</t>
  </si>
  <si>
    <t>CH 5</t>
  </si>
  <si>
    <t>RT 27</t>
  </si>
  <si>
    <t>RT 28</t>
  </si>
  <si>
    <t>Trep</t>
  </si>
  <si>
    <t xml:space="preserve">RT 29 </t>
  </si>
  <si>
    <t>p Lanza</t>
  </si>
  <si>
    <t>RT 29</t>
  </si>
  <si>
    <t>RT 30</t>
  </si>
  <si>
    <t>Slovenia</t>
  </si>
  <si>
    <t>RT 31</t>
  </si>
  <si>
    <t>Bled</t>
  </si>
  <si>
    <t>CH 6</t>
  </si>
  <si>
    <t>Goreljek</t>
  </si>
  <si>
    <t>RT 32</t>
  </si>
  <si>
    <t>RT 33</t>
  </si>
  <si>
    <t>RT 34</t>
  </si>
  <si>
    <t>Dantje</t>
  </si>
  <si>
    <t>RT 35</t>
  </si>
  <si>
    <t>Loka</t>
  </si>
  <si>
    <t>RT 36</t>
  </si>
  <si>
    <t>Koyok</t>
  </si>
  <si>
    <t>CH 7</t>
  </si>
  <si>
    <t>Lusa</t>
  </si>
  <si>
    <t>RT 37</t>
  </si>
  <si>
    <t>RT 38</t>
  </si>
  <si>
    <t>Cerkno</t>
  </si>
  <si>
    <t>CH 8</t>
  </si>
  <si>
    <t>Kanal</t>
  </si>
  <si>
    <t xml:space="preserve">Ledra est  </t>
  </si>
  <si>
    <t xml:space="preserve">Sect. </t>
  </si>
  <si>
    <t>Ledra est</t>
  </si>
  <si>
    <t>CH 9</t>
  </si>
  <si>
    <t>RT 39</t>
  </si>
  <si>
    <t>RT 40</t>
  </si>
  <si>
    <t>Arduims</t>
  </si>
  <si>
    <t>RT 41</t>
  </si>
  <si>
    <t>Battaias</t>
  </si>
  <si>
    <t>RT 42</t>
  </si>
  <si>
    <t>Campone</t>
  </si>
  <si>
    <t>RT 43</t>
  </si>
  <si>
    <t>Barzana</t>
  </si>
  <si>
    <t>RT 44</t>
  </si>
  <si>
    <t>p Duran</t>
  </si>
  <si>
    <t>CH 10</t>
  </si>
  <si>
    <t>p Valles</t>
  </si>
  <si>
    <t>Bellamonte</t>
  </si>
  <si>
    <t>IN</t>
  </si>
  <si>
    <t>OUT</t>
  </si>
  <si>
    <t>RT 45</t>
  </si>
  <si>
    <t>RT 46</t>
  </si>
  <si>
    <t>p Lavazé</t>
  </si>
  <si>
    <t>RT 47</t>
  </si>
  <si>
    <t>S, Valentino</t>
  </si>
  <si>
    <t>RT 48</t>
  </si>
  <si>
    <t xml:space="preserve">Karmeid </t>
  </si>
  <si>
    <t>RT 49</t>
  </si>
  <si>
    <t>Jenesien</t>
  </si>
  <si>
    <t>RT 50</t>
  </si>
  <si>
    <t>Molten</t>
  </si>
  <si>
    <t>RT 51</t>
  </si>
  <si>
    <t>Kreuf</t>
  </si>
  <si>
    <t>RT 52</t>
  </si>
  <si>
    <t>Pommes</t>
  </si>
  <si>
    <t>CH 12</t>
  </si>
  <si>
    <t>Total</t>
  </si>
  <si>
    <t>RT</t>
  </si>
  <si>
    <t>Liaison</t>
  </si>
  <si>
    <t>Moyenne</t>
  </si>
  <si>
    <t>%</t>
  </si>
  <si>
    <t>5h24'</t>
  </si>
  <si>
    <t>8h40'</t>
  </si>
  <si>
    <t>8h18'</t>
  </si>
  <si>
    <t>4h11'</t>
  </si>
  <si>
    <t>4h21'</t>
  </si>
  <si>
    <t>Etapes</t>
  </si>
  <si>
    <t>CHS</t>
  </si>
  <si>
    <t>passo Foppa</t>
  </si>
  <si>
    <t>passo Tonale</t>
  </si>
  <si>
    <t>passo Mendola</t>
  </si>
  <si>
    <t>passo Stelvio</t>
  </si>
  <si>
    <t>T1</t>
  </si>
  <si>
    <t>T2</t>
  </si>
  <si>
    <t>T3</t>
  </si>
  <si>
    <t>T4</t>
  </si>
  <si>
    <t>T5</t>
  </si>
  <si>
    <t>sella Razzo</t>
  </si>
  <si>
    <t>Prise de</t>
  </si>
  <si>
    <t xml:space="preserve">  </t>
  </si>
  <si>
    <t>T6</t>
  </si>
  <si>
    <t>Dravhpass</t>
  </si>
  <si>
    <t>Skofja loka</t>
  </si>
  <si>
    <t>T7</t>
  </si>
  <si>
    <t>T8</t>
  </si>
  <si>
    <t>T9</t>
  </si>
  <si>
    <t>ZR - RT</t>
  </si>
  <si>
    <t>Terre</t>
  </si>
  <si>
    <t>Nombre</t>
  </si>
  <si>
    <t>restart</t>
  </si>
</sst>
</file>

<file path=xl/styles.xml><?xml version="1.0" encoding="utf-8"?>
<styleSheet xmlns="http://schemas.openxmlformats.org/spreadsheetml/2006/main">
  <numFmts count="27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&quot;€&quot;* #,##0.00_);_(&quot;€&quot;* \(#,##0.00\);_(&quot;€&quot;* &quot;-&quot;??_);_(@_)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:mm:ss;@"/>
    <numFmt numFmtId="179" formatCode="h:mm:ss;@"/>
    <numFmt numFmtId="180" formatCode="0.0%"/>
    <numFmt numFmtId="181" formatCode="0.0"/>
    <numFmt numFmtId="182" formatCode="&quot;€&quot;\ #,##0"/>
  </numFmts>
  <fonts count="5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</fills>
  <borders count="21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78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80" fontId="1" fillId="2" borderId="2" xfId="0" applyNumberFormat="1" applyFont="1" applyFill="1" applyBorder="1" applyAlignment="1">
      <alignment horizontal="center"/>
    </xf>
    <xf numFmtId="181" fontId="1" fillId="2" borderId="3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180" fontId="1" fillId="2" borderId="5" xfId="0" applyNumberFormat="1" applyFont="1" applyFill="1" applyBorder="1" applyAlignment="1">
      <alignment horizontal="center"/>
    </xf>
    <xf numFmtId="178" fontId="1" fillId="2" borderId="5" xfId="0" applyNumberFormat="1" applyFont="1" applyFill="1" applyBorder="1" applyAlignment="1">
      <alignment horizontal="center"/>
    </xf>
    <xf numFmtId="181" fontId="1" fillId="2" borderId="6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80" fontId="2" fillId="0" borderId="5" xfId="0" applyNumberFormat="1" applyFont="1" applyFill="1" applyBorder="1" applyAlignment="1">
      <alignment horizontal="center"/>
    </xf>
    <xf numFmtId="178" fontId="2" fillId="0" borderId="5" xfId="0" applyNumberFormat="1" applyFont="1" applyFill="1" applyBorder="1" applyAlignment="1">
      <alignment horizontal="center"/>
    </xf>
    <xf numFmtId="181" fontId="2" fillId="0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8" fontId="2" fillId="0" borderId="0" xfId="0" applyNumberFormat="1" applyFont="1" applyFill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180" fontId="1" fillId="0" borderId="8" xfId="0" applyNumberFormat="1" applyFont="1" applyFill="1" applyBorder="1" applyAlignment="1">
      <alignment horizontal="center"/>
    </xf>
    <xf numFmtId="178" fontId="1" fillId="0" borderId="8" xfId="0" applyNumberFormat="1" applyFont="1" applyFill="1" applyBorder="1" applyAlignment="1">
      <alignment horizontal="center"/>
    </xf>
    <xf numFmtId="181" fontId="1" fillId="0" borderId="9" xfId="0" applyNumberFormat="1" applyFont="1" applyFill="1" applyBorder="1" applyAlignment="1">
      <alignment horizontal="center"/>
    </xf>
    <xf numFmtId="180" fontId="2" fillId="0" borderId="0" xfId="0" applyNumberFormat="1" applyFont="1" applyFill="1" applyAlignment="1">
      <alignment horizontal="center"/>
    </xf>
    <xf numFmtId="181" fontId="2" fillId="0" borderId="0" xfId="0" applyNumberFormat="1" applyFont="1" applyFill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80" fontId="2" fillId="3" borderId="5" xfId="0" applyNumberFormat="1" applyFont="1" applyFill="1" applyBorder="1" applyAlignment="1">
      <alignment horizontal="center"/>
    </xf>
    <xf numFmtId="178" fontId="2" fillId="3" borderId="5" xfId="0" applyNumberFormat="1" applyFont="1" applyFill="1" applyBorder="1" applyAlignment="1">
      <alignment horizontal="center"/>
    </xf>
    <xf numFmtId="181" fontId="2" fillId="3" borderId="6" xfId="0" applyNumberFormat="1" applyFont="1" applyFill="1" applyBorder="1" applyAlignment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1" fontId="1" fillId="0" borderId="8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2" fontId="1" fillId="4" borderId="0" xfId="0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179" fontId="1" fillId="2" borderId="11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2" fontId="1" fillId="5" borderId="12" xfId="0" applyNumberFormat="1" applyFont="1" applyFill="1" applyBorder="1" applyAlignment="1">
      <alignment horizontal="center"/>
    </xf>
    <xf numFmtId="2" fontId="1" fillId="5" borderId="13" xfId="0" applyNumberFormat="1" applyFont="1" applyFill="1" applyBorder="1" applyAlignment="1">
      <alignment horizontal="center"/>
    </xf>
    <xf numFmtId="178" fontId="1" fillId="6" borderId="12" xfId="0" applyNumberFormat="1" applyFont="1" applyFill="1" applyBorder="1" applyAlignment="1">
      <alignment horizontal="center"/>
    </xf>
    <xf numFmtId="178" fontId="1" fillId="6" borderId="13" xfId="0" applyNumberFormat="1" applyFont="1" applyFill="1" applyBorder="1" applyAlignment="1">
      <alignment horizontal="center"/>
    </xf>
    <xf numFmtId="2" fontId="1" fillId="2" borderId="2" xfId="0" applyNumberFormat="1" applyFont="1" applyFill="1" applyBorder="1" applyAlignment="1">
      <alignment horizontal="center"/>
    </xf>
    <xf numFmtId="2" fontId="1" fillId="2" borderId="5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2" fillId="0" borderId="0" xfId="0" applyNumberFormat="1" applyFont="1" applyFill="1" applyAlignment="1">
      <alignment horizontal="center"/>
    </xf>
    <xf numFmtId="182" fontId="1" fillId="2" borderId="2" xfId="0" applyNumberFormat="1" applyFont="1" applyFill="1" applyBorder="1" applyAlignment="1">
      <alignment horizontal="center"/>
    </xf>
    <xf numFmtId="182" fontId="1" fillId="2" borderId="5" xfId="0" applyNumberFormat="1" applyFont="1" applyFill="1" applyBorder="1" applyAlignment="1">
      <alignment horizontal="center"/>
    </xf>
    <xf numFmtId="182" fontId="2" fillId="0" borderId="0" xfId="0" applyNumberFormat="1" applyFont="1" applyFill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3" borderId="5" xfId="0" applyNumberFormat="1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179" fontId="1" fillId="0" borderId="11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1" fontId="2" fillId="0" borderId="11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178" fontId="1" fillId="0" borderId="13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1" fontId="1" fillId="0" borderId="11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179" fontId="1" fillId="0" borderId="19" xfId="0" applyNumberFormat="1" applyFont="1" applyFill="1" applyBorder="1" applyAlignment="1">
      <alignment horizontal="center"/>
    </xf>
    <xf numFmtId="180" fontId="1" fillId="0" borderId="18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180" fontId="1" fillId="0" borderId="20" xfId="0" applyNumberFormat="1" applyFont="1" applyFill="1" applyBorder="1" applyAlignment="1">
      <alignment horizontal="center"/>
    </xf>
    <xf numFmtId="178" fontId="1" fillId="0" borderId="20" xfId="0" applyNumberFormat="1" applyFont="1" applyFill="1" applyBorder="1" applyAlignment="1">
      <alignment horizontal="center"/>
    </xf>
    <xf numFmtId="179" fontId="1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178" fontId="1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2" fontId="3" fillId="5" borderId="12" xfId="0" applyNumberFormat="1" applyFont="1" applyFill="1" applyBorder="1" applyAlignment="1">
      <alignment horizontal="center"/>
    </xf>
    <xf numFmtId="178" fontId="3" fillId="6" borderId="12" xfId="0" applyNumberFormat="1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178" fontId="3" fillId="2" borderId="11" xfId="0" applyNumberFormat="1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1" fontId="3" fillId="4" borderId="11" xfId="0" applyNumberFormat="1" applyFont="1" applyFill="1" applyBorder="1" applyAlignment="1">
      <alignment horizontal="center"/>
    </xf>
    <xf numFmtId="2" fontId="3" fillId="5" borderId="13" xfId="0" applyNumberFormat="1" applyFont="1" applyFill="1" applyBorder="1" applyAlignment="1">
      <alignment horizontal="center"/>
    </xf>
    <xf numFmtId="178" fontId="3" fillId="6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178" fontId="3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178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center"/>
    </xf>
    <xf numFmtId="2" fontId="3" fillId="0" borderId="0" xfId="0" applyNumberFormat="1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178" fontId="3" fillId="0" borderId="19" xfId="0" applyNumberFormat="1" applyFont="1" applyFill="1" applyBorder="1" applyAlignment="1">
      <alignment horizontal="center"/>
    </xf>
    <xf numFmtId="180" fontId="3" fillId="0" borderId="18" xfId="0" applyNumberFormat="1" applyFont="1" applyFill="1" applyBorder="1" applyAlignment="1">
      <alignment horizontal="center"/>
    </xf>
    <xf numFmtId="1" fontId="3" fillId="0" borderId="19" xfId="0" applyNumberFormat="1" applyFont="1" applyFill="1" applyBorder="1" applyAlignment="1">
      <alignment horizontal="center"/>
    </xf>
    <xf numFmtId="180" fontId="3" fillId="0" borderId="20" xfId="0" applyNumberFormat="1" applyFont="1" applyFill="1" applyBorder="1" applyAlignment="1">
      <alignment horizontal="center"/>
    </xf>
    <xf numFmtId="178" fontId="3" fillId="0" borderId="20" xfId="0" applyNumberFormat="1" applyFont="1" applyFill="1" applyBorder="1" applyAlignment="1">
      <alignment horizontal="center"/>
    </xf>
    <xf numFmtId="2" fontId="4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2" fontId="3" fillId="2" borderId="15" xfId="0" applyNumberFormat="1" applyFont="1" applyFill="1" applyBorder="1" applyAlignment="1">
      <alignment horizontal="center"/>
    </xf>
    <xf numFmtId="178" fontId="3" fillId="2" borderId="16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Q19"/>
  <sheetViews>
    <sheetView workbookViewId="0" topLeftCell="A1">
      <selection activeCell="A1" sqref="A1:IV16384"/>
    </sheetView>
  </sheetViews>
  <sheetFormatPr defaultColWidth="11.421875" defaultRowHeight="12.75"/>
  <cols>
    <col min="1" max="1" width="4.140625" style="1" bestFit="1" customWidth="1"/>
    <col min="2" max="2" width="14.7109375" style="67" bestFit="1" customWidth="1"/>
    <col min="3" max="3" width="4.140625" style="67" bestFit="1" customWidth="1"/>
    <col min="4" max="5" width="5.8515625" style="67" bestFit="1" customWidth="1"/>
    <col min="6" max="6" width="7.57421875" style="69" bestFit="1" customWidth="1"/>
    <col min="7" max="7" width="6.421875" style="69" bestFit="1" customWidth="1"/>
    <col min="8" max="8" width="11.140625" style="86" customWidth="1"/>
    <col min="9" max="9" width="3.421875" style="1" bestFit="1" customWidth="1"/>
    <col min="10" max="10" width="15.8515625" style="67" bestFit="1" customWidth="1"/>
    <col min="11" max="11" width="6.8515625" style="69" bestFit="1" customWidth="1"/>
    <col min="12" max="14" width="6.421875" style="69" bestFit="1" customWidth="1"/>
    <col min="15" max="15" width="5.421875" style="87" bestFit="1" customWidth="1"/>
    <col min="16" max="16" width="7.57421875" style="69" bestFit="1" customWidth="1"/>
    <col min="17" max="17" width="10.7109375" style="88" customWidth="1"/>
    <col min="18" max="16384" width="11.421875" style="67" customWidth="1"/>
  </cols>
  <sheetData>
    <row r="1" spans="1:17" s="1" customFormat="1" ht="15">
      <c r="A1" s="1" t="s">
        <v>0</v>
      </c>
      <c r="C1" s="60" t="s">
        <v>1</v>
      </c>
      <c r="D1" s="61"/>
      <c r="E1" s="61"/>
      <c r="F1" s="61"/>
      <c r="G1" s="61"/>
      <c r="H1" s="62"/>
      <c r="I1" s="63" t="s">
        <v>170</v>
      </c>
      <c r="J1" s="64"/>
      <c r="K1" s="64"/>
      <c r="L1" s="64"/>
      <c r="M1" s="64"/>
      <c r="N1" s="64"/>
      <c r="O1" s="65"/>
      <c r="P1" s="45" t="s">
        <v>2</v>
      </c>
      <c r="Q1" s="47" t="s">
        <v>3</v>
      </c>
    </row>
    <row r="2" spans="1:17" s="1" customFormat="1" ht="15">
      <c r="A2" s="1" t="s">
        <v>4</v>
      </c>
      <c r="B2" s="1" t="s">
        <v>5</v>
      </c>
      <c r="C2" s="41" t="s">
        <v>4</v>
      </c>
      <c r="D2" s="35" t="s">
        <v>6</v>
      </c>
      <c r="E2" s="35" t="s">
        <v>7</v>
      </c>
      <c r="F2" s="36" t="s">
        <v>8</v>
      </c>
      <c r="G2" s="37" t="s">
        <v>9</v>
      </c>
      <c r="H2" s="42" t="s">
        <v>10</v>
      </c>
      <c r="I2" s="43" t="s">
        <v>4</v>
      </c>
      <c r="J2" s="38" t="s">
        <v>5</v>
      </c>
      <c r="K2" s="39" t="s">
        <v>11</v>
      </c>
      <c r="L2" s="40" t="s">
        <v>12</v>
      </c>
      <c r="M2" s="40" t="s">
        <v>13</v>
      </c>
      <c r="N2" s="40" t="s">
        <v>171</v>
      </c>
      <c r="O2" s="44" t="s">
        <v>14</v>
      </c>
      <c r="P2" s="46" t="s">
        <v>11</v>
      </c>
      <c r="Q2" s="48"/>
    </row>
    <row r="3" spans="1:17" ht="15">
      <c r="A3" s="1">
        <v>1</v>
      </c>
      <c r="B3" s="67" t="s">
        <v>15</v>
      </c>
      <c r="C3" s="68"/>
      <c r="H3" s="70"/>
      <c r="I3" s="71"/>
      <c r="O3" s="72"/>
      <c r="P3" s="73"/>
      <c r="Q3" s="74">
        <v>0.25</v>
      </c>
    </row>
    <row r="4" spans="3:17" ht="21" customHeight="1">
      <c r="C4" s="68">
        <v>1</v>
      </c>
      <c r="D4" s="67" t="s">
        <v>16</v>
      </c>
      <c r="E4" s="67" t="s">
        <v>17</v>
      </c>
      <c r="F4" s="69">
        <v>7.14</v>
      </c>
      <c r="G4" s="69">
        <f>(F4/9*60)</f>
        <v>47.6</v>
      </c>
      <c r="H4" s="70">
        <v>0.00625</v>
      </c>
      <c r="I4" s="71">
        <v>1</v>
      </c>
      <c r="J4" s="67" t="s">
        <v>155</v>
      </c>
      <c r="K4" s="69">
        <v>3.75</v>
      </c>
      <c r="L4" s="69">
        <v>49.99</v>
      </c>
      <c r="M4" s="69">
        <v>49</v>
      </c>
      <c r="N4" s="69">
        <v>0</v>
      </c>
      <c r="O4" s="72">
        <v>1</v>
      </c>
      <c r="P4" s="73">
        <f>(F4-K4)</f>
        <v>3.3899999999999997</v>
      </c>
      <c r="Q4" s="74">
        <v>0.25</v>
      </c>
    </row>
    <row r="5" spans="1:17" ht="21" customHeight="1">
      <c r="A5" s="1" t="s">
        <v>18</v>
      </c>
      <c r="C5" s="68">
        <v>2</v>
      </c>
      <c r="D5" s="67" t="s">
        <v>17</v>
      </c>
      <c r="E5" s="67" t="s">
        <v>19</v>
      </c>
      <c r="F5" s="69">
        <v>55.99</v>
      </c>
      <c r="G5" s="69">
        <f>(F5/68*60)</f>
        <v>49.402941176470584</v>
      </c>
      <c r="H5" s="70">
        <v>0.04722222222222222</v>
      </c>
      <c r="I5" s="71">
        <v>2</v>
      </c>
      <c r="J5" s="67" t="s">
        <v>20</v>
      </c>
      <c r="K5" s="69">
        <v>8.43</v>
      </c>
      <c r="L5" s="69">
        <v>49.99</v>
      </c>
      <c r="M5" s="69">
        <v>49</v>
      </c>
      <c r="N5" s="69">
        <v>0</v>
      </c>
      <c r="O5" s="72">
        <v>5</v>
      </c>
      <c r="P5" s="73">
        <f aca="true" t="shared" si="0" ref="P5:P13">(F5-K5)</f>
        <v>47.56</v>
      </c>
      <c r="Q5" s="74">
        <f>(Q4+H4)</f>
        <v>0.25625</v>
      </c>
    </row>
    <row r="6" spans="3:17" ht="21" customHeight="1">
      <c r="C6" s="68">
        <v>3</v>
      </c>
      <c r="D6" s="67" t="s">
        <v>19</v>
      </c>
      <c r="E6" s="67" t="s">
        <v>21</v>
      </c>
      <c r="F6" s="69">
        <v>14.32</v>
      </c>
      <c r="G6" s="69">
        <f>(F6/18*60)</f>
        <v>47.733333333333334</v>
      </c>
      <c r="H6" s="70">
        <v>0.0125</v>
      </c>
      <c r="I6" s="71">
        <v>3</v>
      </c>
      <c r="J6" s="67" t="s">
        <v>22</v>
      </c>
      <c r="K6" s="69">
        <v>6.85</v>
      </c>
      <c r="L6" s="69">
        <v>49.99</v>
      </c>
      <c r="M6" s="69">
        <v>48</v>
      </c>
      <c r="N6" s="69">
        <v>0</v>
      </c>
      <c r="O6" s="72">
        <v>1</v>
      </c>
      <c r="P6" s="73">
        <f t="shared" si="0"/>
        <v>7.470000000000001</v>
      </c>
      <c r="Q6" s="74">
        <f aca="true" t="shared" si="1" ref="Q6:Q14">(Q5+H5)</f>
        <v>0.3034722222222222</v>
      </c>
    </row>
    <row r="7" spans="3:17" ht="21" customHeight="1">
      <c r="C7" s="68">
        <v>4</v>
      </c>
      <c r="D7" s="67" t="s">
        <v>21</v>
      </c>
      <c r="E7" s="67" t="s">
        <v>23</v>
      </c>
      <c r="F7" s="69">
        <v>31.57</v>
      </c>
      <c r="G7" s="69">
        <f>(F7/38*60)</f>
        <v>49.84736842105263</v>
      </c>
      <c r="H7" s="70">
        <v>0.02638888888888889</v>
      </c>
      <c r="I7" s="71">
        <v>4</v>
      </c>
      <c r="J7" s="67" t="s">
        <v>24</v>
      </c>
      <c r="K7" s="69">
        <v>21.86</v>
      </c>
      <c r="L7" s="69">
        <v>49.99</v>
      </c>
      <c r="M7" s="69">
        <v>48</v>
      </c>
      <c r="N7" s="69">
        <v>0</v>
      </c>
      <c r="O7" s="72">
        <v>6</v>
      </c>
      <c r="P7" s="73">
        <f t="shared" si="0"/>
        <v>9.71</v>
      </c>
      <c r="Q7" s="74">
        <f t="shared" si="1"/>
        <v>0.3159722222222222</v>
      </c>
    </row>
    <row r="8" spans="3:17" ht="21" customHeight="1">
      <c r="C8" s="68">
        <v>5</v>
      </c>
      <c r="D8" s="67" t="s">
        <v>23</v>
      </c>
      <c r="E8" s="67" t="s">
        <v>25</v>
      </c>
      <c r="F8" s="69">
        <v>12.51</v>
      </c>
      <c r="G8" s="69">
        <f>(F8/16*60)</f>
        <v>46.9125</v>
      </c>
      <c r="H8" s="70">
        <v>0.011111111111111112</v>
      </c>
      <c r="I8" s="71">
        <v>5</v>
      </c>
      <c r="J8" s="67" t="s">
        <v>152</v>
      </c>
      <c r="K8" s="69">
        <v>12.34</v>
      </c>
      <c r="L8" s="69" t="s">
        <v>151</v>
      </c>
      <c r="M8" s="69" t="s">
        <v>151</v>
      </c>
      <c r="N8" s="69">
        <v>0</v>
      </c>
      <c r="O8" s="72">
        <v>16</v>
      </c>
      <c r="P8" s="73">
        <f t="shared" si="0"/>
        <v>0.16999999999999993</v>
      </c>
      <c r="Q8" s="74">
        <f t="shared" si="1"/>
        <v>0.3423611111111111</v>
      </c>
    </row>
    <row r="9" spans="3:17" ht="21" customHeight="1">
      <c r="C9" s="68">
        <v>6</v>
      </c>
      <c r="D9" s="67" t="s">
        <v>25</v>
      </c>
      <c r="E9" s="67" t="s">
        <v>26</v>
      </c>
      <c r="F9" s="69">
        <v>40.35</v>
      </c>
      <c r="G9" s="69">
        <f>(F9/49*60)</f>
        <v>49.40816326530612</v>
      </c>
      <c r="H9" s="70">
        <v>0.034027777777777775</v>
      </c>
      <c r="I9" s="71">
        <v>6</v>
      </c>
      <c r="J9" s="67" t="s">
        <v>27</v>
      </c>
      <c r="K9" s="69">
        <v>9.03</v>
      </c>
      <c r="L9" s="69">
        <v>49.99</v>
      </c>
      <c r="M9" s="69">
        <v>48</v>
      </c>
      <c r="N9" s="69">
        <v>0</v>
      </c>
      <c r="O9" s="72">
        <v>3</v>
      </c>
      <c r="P9" s="73">
        <f t="shared" si="0"/>
        <v>31.32</v>
      </c>
      <c r="Q9" s="74">
        <f t="shared" si="1"/>
        <v>0.35347222222222224</v>
      </c>
    </row>
    <row r="10" spans="2:17" ht="21" customHeight="1">
      <c r="B10" s="1" t="s">
        <v>28</v>
      </c>
      <c r="C10" s="68"/>
      <c r="H10" s="70">
        <v>0.010416666666666666</v>
      </c>
      <c r="I10" s="71"/>
      <c r="O10" s="72"/>
      <c r="P10" s="73"/>
      <c r="Q10" s="74">
        <f t="shared" si="1"/>
        <v>0.3875</v>
      </c>
    </row>
    <row r="11" spans="3:17" ht="21" customHeight="1">
      <c r="C11" s="68">
        <v>7</v>
      </c>
      <c r="D11" s="67" t="s">
        <v>26</v>
      </c>
      <c r="E11" s="67" t="s">
        <v>29</v>
      </c>
      <c r="F11" s="69">
        <v>41.95</v>
      </c>
      <c r="G11" s="69">
        <f>(F11/51*60)</f>
        <v>49.352941176470594</v>
      </c>
      <c r="H11" s="70">
        <v>0.035416666666666666</v>
      </c>
      <c r="I11" s="71">
        <v>7</v>
      </c>
      <c r="J11" s="67" t="s">
        <v>153</v>
      </c>
      <c r="K11" s="69">
        <v>9.25</v>
      </c>
      <c r="L11" s="69">
        <v>49.99</v>
      </c>
      <c r="M11" s="69">
        <v>49</v>
      </c>
      <c r="N11" s="69">
        <v>0</v>
      </c>
      <c r="O11" s="72">
        <v>2</v>
      </c>
      <c r="P11" s="73">
        <f t="shared" si="0"/>
        <v>32.7</v>
      </c>
      <c r="Q11" s="74">
        <f t="shared" si="1"/>
        <v>0.3979166666666667</v>
      </c>
    </row>
    <row r="12" spans="3:17" ht="21" customHeight="1">
      <c r="C12" s="68">
        <v>8</v>
      </c>
      <c r="D12" s="67" t="s">
        <v>29</v>
      </c>
      <c r="E12" s="67" t="s">
        <v>30</v>
      </c>
      <c r="F12" s="69">
        <v>30.06</v>
      </c>
      <c r="G12" s="69">
        <f>(F12/37*60)</f>
        <v>48.74594594594594</v>
      </c>
      <c r="H12" s="70">
        <v>0.025694444444444447</v>
      </c>
      <c r="I12" s="71">
        <v>8</v>
      </c>
      <c r="J12" s="67" t="s">
        <v>31</v>
      </c>
      <c r="K12" s="69">
        <v>15.65</v>
      </c>
      <c r="L12" s="69">
        <v>49.99</v>
      </c>
      <c r="M12" s="69">
        <v>48</v>
      </c>
      <c r="N12" s="69">
        <v>0</v>
      </c>
      <c r="O12" s="72">
        <v>3</v>
      </c>
      <c r="P12" s="73">
        <f t="shared" si="0"/>
        <v>14.409999999999998</v>
      </c>
      <c r="Q12" s="74">
        <f t="shared" si="1"/>
        <v>0.43333333333333335</v>
      </c>
    </row>
    <row r="13" spans="3:17" ht="21" customHeight="1">
      <c r="C13" s="68">
        <v>9</v>
      </c>
      <c r="D13" s="67" t="s">
        <v>30</v>
      </c>
      <c r="E13" s="67" t="s">
        <v>32</v>
      </c>
      <c r="F13" s="69">
        <v>18.5</v>
      </c>
      <c r="G13" s="69">
        <f>(F13/23*60)</f>
        <v>48.26086956521739</v>
      </c>
      <c r="H13" s="70">
        <v>0.015972222222222224</v>
      </c>
      <c r="I13" s="71">
        <v>9</v>
      </c>
      <c r="J13" s="67" t="s">
        <v>154</v>
      </c>
      <c r="K13" s="69">
        <v>12.18</v>
      </c>
      <c r="L13" s="69">
        <v>49.99</v>
      </c>
      <c r="M13" s="69">
        <v>49</v>
      </c>
      <c r="N13" s="69">
        <v>0</v>
      </c>
      <c r="O13" s="72">
        <v>2</v>
      </c>
      <c r="P13" s="73">
        <f t="shared" si="0"/>
        <v>6.32</v>
      </c>
      <c r="Q13" s="74">
        <f t="shared" si="1"/>
        <v>0.4590277777777778</v>
      </c>
    </row>
    <row r="14" spans="3:17" s="1" customFormat="1" ht="21" customHeight="1">
      <c r="C14" s="71"/>
      <c r="F14" s="75">
        <f>SUM(F4:F13)</f>
        <v>252.39000000000004</v>
      </c>
      <c r="G14" s="75">
        <f>(F14/324*60)</f>
        <v>46.738888888888894</v>
      </c>
      <c r="H14" s="70">
        <f>(H4+H5+H6+H7+H8+H9+H10+H11+H12+H13)</f>
        <v>0.225</v>
      </c>
      <c r="I14" s="71"/>
      <c r="K14" s="75">
        <f>SUM(K4:K13)</f>
        <v>99.34</v>
      </c>
      <c r="L14" s="75"/>
      <c r="M14" s="75"/>
      <c r="N14" s="75">
        <f>SUM(N4:N13)</f>
        <v>0</v>
      </c>
      <c r="O14" s="76">
        <f>SUM(O4:O13)</f>
        <v>39</v>
      </c>
      <c r="P14" s="77">
        <f>SUM(P4:P13)</f>
        <v>153.04999999999998</v>
      </c>
      <c r="Q14" s="74">
        <f t="shared" si="1"/>
        <v>0.47500000000000003</v>
      </c>
    </row>
    <row r="15" spans="3:17" s="1" customFormat="1" ht="15.75" thickBot="1">
      <c r="C15" s="78"/>
      <c r="D15" s="79"/>
      <c r="E15" s="79"/>
      <c r="F15" s="80"/>
      <c r="G15" s="80"/>
      <c r="H15" s="81" t="s">
        <v>18</v>
      </c>
      <c r="I15" s="78"/>
      <c r="J15" s="79"/>
      <c r="K15" s="82">
        <f>(K14/F14)</f>
        <v>0.39359721066603265</v>
      </c>
      <c r="L15" s="80"/>
      <c r="M15" s="80"/>
      <c r="N15" s="82">
        <f>(N14/K14)</f>
        <v>0</v>
      </c>
      <c r="O15" s="83"/>
      <c r="P15" s="84">
        <f>(P14/F14)</f>
        <v>0.6064027893339671</v>
      </c>
      <c r="Q15" s="85" t="s">
        <v>18</v>
      </c>
    </row>
    <row r="16" spans="1:17" ht="15">
      <c r="A16" s="1">
        <v>2</v>
      </c>
      <c r="B16" s="67" t="s">
        <v>33</v>
      </c>
      <c r="C16" s="67" t="s">
        <v>34</v>
      </c>
      <c r="H16" s="86" t="s">
        <v>18</v>
      </c>
      <c r="Q16" s="88">
        <f>(Q14)</f>
        <v>0.47500000000000003</v>
      </c>
    </row>
    <row r="17" spans="1:17" ht="15">
      <c r="A17" s="1">
        <v>3</v>
      </c>
      <c r="B17" s="67" t="s">
        <v>33</v>
      </c>
      <c r="C17" s="67" t="s">
        <v>35</v>
      </c>
      <c r="H17" s="86">
        <v>0.04583333333333334</v>
      </c>
      <c r="Q17" s="88">
        <f>(Q16+H17)</f>
        <v>0.5208333333333334</v>
      </c>
    </row>
    <row r="18" ht="15">
      <c r="H18" s="86" t="s">
        <v>18</v>
      </c>
    </row>
    <row r="19" ht="15">
      <c r="H19" s="86" t="s">
        <v>18</v>
      </c>
    </row>
  </sheetData>
  <mergeCells count="2">
    <mergeCell ref="C1:H1"/>
    <mergeCell ref="I1:O1"/>
  </mergeCells>
  <printOptions gridLines="1" horizontalCentered="1"/>
  <pageMargins left="0.3937007874015748" right="0.4724409448818898" top="1.42" bottom="0.5118110236220472" header="0.95" footer="0.5118110236220472"/>
  <pageSetup horizontalDpi="600" verticalDpi="600" orientation="landscape" paperSize="9" r:id="rId1"/>
  <headerFooter alignWithMargins="0">
    <oddHeader>&amp;LMarathon des Alpes 2011&amp;Cétape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5"/>
  </sheetPr>
  <dimension ref="A1:R25"/>
  <sheetViews>
    <sheetView workbookViewId="0" topLeftCell="A1">
      <selection activeCell="A1" sqref="A1:IV16384"/>
    </sheetView>
  </sheetViews>
  <sheetFormatPr defaultColWidth="11.421875" defaultRowHeight="12.75"/>
  <cols>
    <col min="1" max="1" width="4.421875" style="108" bestFit="1" customWidth="1"/>
    <col min="2" max="2" width="15.140625" style="108" bestFit="1" customWidth="1"/>
    <col min="3" max="3" width="3.57421875" style="108" bestFit="1" customWidth="1"/>
    <col min="4" max="5" width="7.421875" style="108" bestFit="1" customWidth="1"/>
    <col min="6" max="6" width="8.00390625" style="130" bestFit="1" customWidth="1"/>
    <col min="7" max="7" width="6.7109375" style="130" bestFit="1" customWidth="1"/>
    <col min="8" max="8" width="10.421875" style="131" bestFit="1" customWidth="1"/>
    <col min="9" max="9" width="3.57421875" style="89" bestFit="1" customWidth="1"/>
    <col min="10" max="10" width="14.8515625" style="108" bestFit="1" customWidth="1"/>
    <col min="11" max="11" width="8.00390625" style="130" bestFit="1" customWidth="1"/>
    <col min="12" max="13" width="6.7109375" style="130" bestFit="1" customWidth="1"/>
    <col min="14" max="14" width="6.8515625" style="130" bestFit="1" customWidth="1"/>
    <col min="15" max="15" width="5.8515625" style="132" bestFit="1" customWidth="1"/>
    <col min="16" max="16" width="7.57421875" style="130" bestFit="1" customWidth="1"/>
    <col min="17" max="17" width="10.421875" style="131" bestFit="1" customWidth="1"/>
    <col min="18" max="16384" width="11.421875" style="108" customWidth="1"/>
  </cols>
  <sheetData>
    <row r="1" spans="1:17" s="89" customFormat="1" ht="16.5">
      <c r="A1" s="89" t="s">
        <v>0</v>
      </c>
      <c r="C1" s="90" t="s">
        <v>1</v>
      </c>
      <c r="D1" s="91"/>
      <c r="E1" s="91"/>
      <c r="F1" s="91"/>
      <c r="G1" s="91"/>
      <c r="H1" s="92"/>
      <c r="I1" s="93" t="s">
        <v>170</v>
      </c>
      <c r="J1" s="94"/>
      <c r="K1" s="94"/>
      <c r="L1" s="94"/>
      <c r="M1" s="94"/>
      <c r="N1" s="94"/>
      <c r="O1" s="95"/>
      <c r="P1" s="96" t="s">
        <v>2</v>
      </c>
      <c r="Q1" s="97" t="s">
        <v>3</v>
      </c>
    </row>
    <row r="2" spans="1:17" s="89" customFormat="1" ht="16.5">
      <c r="A2" s="89" t="s">
        <v>4</v>
      </c>
      <c r="B2" s="89" t="s">
        <v>5</v>
      </c>
      <c r="C2" s="98" t="s">
        <v>4</v>
      </c>
      <c r="D2" s="99" t="s">
        <v>6</v>
      </c>
      <c r="E2" s="99" t="s">
        <v>7</v>
      </c>
      <c r="F2" s="100" t="s">
        <v>11</v>
      </c>
      <c r="G2" s="100" t="s">
        <v>36</v>
      </c>
      <c r="H2" s="101" t="s">
        <v>37</v>
      </c>
      <c r="I2" s="102" t="s">
        <v>4</v>
      </c>
      <c r="J2" s="103" t="s">
        <v>5</v>
      </c>
      <c r="K2" s="104" t="s">
        <v>11</v>
      </c>
      <c r="L2" s="104" t="s">
        <v>12</v>
      </c>
      <c r="M2" s="104" t="s">
        <v>13</v>
      </c>
      <c r="N2" s="104" t="s">
        <v>171</v>
      </c>
      <c r="O2" s="105" t="s">
        <v>14</v>
      </c>
      <c r="P2" s="106" t="s">
        <v>11</v>
      </c>
      <c r="Q2" s="107"/>
    </row>
    <row r="3" spans="1:17" ht="16.5">
      <c r="A3" s="108">
        <v>3</v>
      </c>
      <c r="B3" s="108" t="s">
        <v>33</v>
      </c>
      <c r="C3" s="109"/>
      <c r="D3" s="110"/>
      <c r="E3" s="110"/>
      <c r="F3" s="111"/>
      <c r="G3" s="111"/>
      <c r="H3" s="112"/>
      <c r="I3" s="113"/>
      <c r="J3" s="110"/>
      <c r="K3" s="111"/>
      <c r="L3" s="111"/>
      <c r="M3" s="111"/>
      <c r="N3" s="111"/>
      <c r="O3" s="114"/>
      <c r="P3" s="115"/>
      <c r="Q3" s="116">
        <v>0.5208333333333334</v>
      </c>
    </row>
    <row r="4" spans="3:17" ht="18" customHeight="1">
      <c r="C4" s="109">
        <v>10</v>
      </c>
      <c r="D4" s="110" t="s">
        <v>38</v>
      </c>
      <c r="E4" s="110" t="s">
        <v>39</v>
      </c>
      <c r="F4" s="111">
        <v>37.45</v>
      </c>
      <c r="G4" s="111">
        <f>(F4/45*60)</f>
        <v>49.93333333333334</v>
      </c>
      <c r="H4" s="112">
        <v>0.03125</v>
      </c>
      <c r="I4" s="113" t="s">
        <v>18</v>
      </c>
      <c r="J4" s="110" t="s">
        <v>18</v>
      </c>
      <c r="K4" s="111"/>
      <c r="L4" s="111" t="s">
        <v>18</v>
      </c>
      <c r="M4" s="111" t="s">
        <v>18</v>
      </c>
      <c r="N4" s="111"/>
      <c r="O4" s="114" t="s">
        <v>18</v>
      </c>
      <c r="P4" s="115">
        <v>37.45</v>
      </c>
      <c r="Q4" s="116">
        <v>0.5208333333333334</v>
      </c>
    </row>
    <row r="5" spans="1:17" ht="18" customHeight="1">
      <c r="A5" s="108" t="s">
        <v>18</v>
      </c>
      <c r="C5" s="109">
        <v>11</v>
      </c>
      <c r="D5" s="110" t="s">
        <v>39</v>
      </c>
      <c r="E5" s="110" t="s">
        <v>40</v>
      </c>
      <c r="F5" s="111">
        <v>20.73</v>
      </c>
      <c r="G5" s="111">
        <f>(F5/25*60)</f>
        <v>49.752</v>
      </c>
      <c r="H5" s="112">
        <v>0.017361111111111112</v>
      </c>
      <c r="I5" s="113">
        <v>10</v>
      </c>
      <c r="J5" s="110" t="s">
        <v>41</v>
      </c>
      <c r="K5" s="111">
        <v>18.15</v>
      </c>
      <c r="L5" s="111">
        <v>49.99</v>
      </c>
      <c r="M5" s="111">
        <v>49</v>
      </c>
      <c r="N5" s="111"/>
      <c r="O5" s="114">
        <v>3</v>
      </c>
      <c r="P5" s="115">
        <f>(F5-K5)</f>
        <v>2.580000000000002</v>
      </c>
      <c r="Q5" s="116">
        <f aca="true" t="shared" si="0" ref="Q5:Q22">(Q4+H4)</f>
        <v>0.5520833333333334</v>
      </c>
    </row>
    <row r="6" spans="3:17" ht="18" customHeight="1">
      <c r="C6" s="109">
        <v>12</v>
      </c>
      <c r="D6" s="110" t="s">
        <v>40</v>
      </c>
      <c r="E6" s="110" t="s">
        <v>42</v>
      </c>
      <c r="F6" s="111">
        <v>6.38</v>
      </c>
      <c r="G6" s="111">
        <f>(F6/8*60)</f>
        <v>47.85</v>
      </c>
      <c r="H6" s="112">
        <v>0.005555555555555556</v>
      </c>
      <c r="I6" s="113">
        <v>11</v>
      </c>
      <c r="J6" s="110" t="s">
        <v>43</v>
      </c>
      <c r="K6" s="111">
        <v>3.68</v>
      </c>
      <c r="L6" s="111">
        <v>49.99</v>
      </c>
      <c r="M6" s="111">
        <v>49</v>
      </c>
      <c r="N6" s="111"/>
      <c r="O6" s="114">
        <v>2</v>
      </c>
      <c r="P6" s="115">
        <f>(F6-K6)</f>
        <v>2.6999999999999997</v>
      </c>
      <c r="Q6" s="116">
        <f t="shared" si="0"/>
        <v>0.5694444444444445</v>
      </c>
    </row>
    <row r="7" spans="3:17" ht="18" customHeight="1">
      <c r="C7" s="109">
        <v>13</v>
      </c>
      <c r="D7" s="110" t="s">
        <v>42</v>
      </c>
      <c r="E7" s="110" t="s">
        <v>44</v>
      </c>
      <c r="F7" s="111">
        <v>14.56</v>
      </c>
      <c r="G7" s="111">
        <f>(F7/18*60)</f>
        <v>48.53333333333333</v>
      </c>
      <c r="H7" s="112">
        <v>0.0125</v>
      </c>
      <c r="I7" s="113">
        <v>12</v>
      </c>
      <c r="J7" s="110" t="s">
        <v>45</v>
      </c>
      <c r="K7" s="111">
        <v>5.49</v>
      </c>
      <c r="L7" s="111" t="s">
        <v>156</v>
      </c>
      <c r="M7" s="111" t="s">
        <v>156</v>
      </c>
      <c r="N7" s="111"/>
      <c r="O7" s="114">
        <v>2</v>
      </c>
      <c r="P7" s="115">
        <f aca="true" t="shared" si="1" ref="P7:P21">(F7-K7)</f>
        <v>9.07</v>
      </c>
      <c r="Q7" s="116">
        <f t="shared" si="0"/>
        <v>0.5750000000000001</v>
      </c>
    </row>
    <row r="8" spans="3:17" ht="18" customHeight="1">
      <c r="C8" s="109">
        <v>14</v>
      </c>
      <c r="D8" s="110" t="s">
        <v>44</v>
      </c>
      <c r="E8" s="110" t="s">
        <v>46</v>
      </c>
      <c r="F8" s="111">
        <v>14.51</v>
      </c>
      <c r="G8" s="111">
        <f>(F8/18*60)</f>
        <v>48.36666666666667</v>
      </c>
      <c r="H8" s="112">
        <v>0.0125</v>
      </c>
      <c r="I8" s="113">
        <v>13</v>
      </c>
      <c r="J8" s="110" t="s">
        <v>47</v>
      </c>
      <c r="K8" s="111">
        <v>7.24</v>
      </c>
      <c r="L8" s="111">
        <v>49.99</v>
      </c>
      <c r="M8" s="111">
        <v>49</v>
      </c>
      <c r="N8" s="111"/>
      <c r="O8" s="114">
        <v>2</v>
      </c>
      <c r="P8" s="115">
        <f t="shared" si="1"/>
        <v>7.27</v>
      </c>
      <c r="Q8" s="116">
        <f t="shared" si="0"/>
        <v>0.5875</v>
      </c>
    </row>
    <row r="9" spans="3:17" ht="18" customHeight="1">
      <c r="C9" s="109">
        <v>15</v>
      </c>
      <c r="D9" s="110" t="s">
        <v>46</v>
      </c>
      <c r="E9" s="110" t="s">
        <v>48</v>
      </c>
      <c r="F9" s="111">
        <v>22.85</v>
      </c>
      <c r="G9" s="111">
        <f>(F9/28*60)</f>
        <v>48.96428571428572</v>
      </c>
      <c r="H9" s="112">
        <v>0.019444444444444445</v>
      </c>
      <c r="I9" s="113">
        <v>14</v>
      </c>
      <c r="J9" s="110" t="s">
        <v>49</v>
      </c>
      <c r="K9" s="111">
        <v>7.18</v>
      </c>
      <c r="L9" s="111">
        <v>49.99</v>
      </c>
      <c r="M9" s="111">
        <v>49</v>
      </c>
      <c r="N9" s="111"/>
      <c r="O9" s="114">
        <v>2</v>
      </c>
      <c r="P9" s="115">
        <f t="shared" si="1"/>
        <v>15.670000000000002</v>
      </c>
      <c r="Q9" s="116">
        <f t="shared" si="0"/>
        <v>0.6</v>
      </c>
    </row>
    <row r="10" spans="3:17" ht="18" customHeight="1">
      <c r="C10" s="109">
        <v>16</v>
      </c>
      <c r="D10" s="110" t="s">
        <v>48</v>
      </c>
      <c r="E10" s="110" t="s">
        <v>50</v>
      </c>
      <c r="F10" s="111">
        <v>13.54</v>
      </c>
      <c r="G10" s="111">
        <f>(F10/16*60)</f>
        <v>50.775</v>
      </c>
      <c r="H10" s="112">
        <v>0.011111111111111112</v>
      </c>
      <c r="I10" s="113">
        <v>15</v>
      </c>
      <c r="J10" s="110" t="s">
        <v>51</v>
      </c>
      <c r="K10" s="111">
        <v>11.33</v>
      </c>
      <c r="L10" s="111">
        <v>49.99</v>
      </c>
      <c r="M10" s="111">
        <v>48</v>
      </c>
      <c r="N10" s="111"/>
      <c r="O10" s="114">
        <v>5</v>
      </c>
      <c r="P10" s="115">
        <f t="shared" si="1"/>
        <v>2.209999999999999</v>
      </c>
      <c r="Q10" s="116">
        <f t="shared" si="0"/>
        <v>0.6194444444444445</v>
      </c>
    </row>
    <row r="11" spans="3:17" ht="18" customHeight="1">
      <c r="C11" s="109">
        <v>17</v>
      </c>
      <c r="D11" s="110" t="s">
        <v>50</v>
      </c>
      <c r="E11" s="110" t="s">
        <v>52</v>
      </c>
      <c r="F11" s="111">
        <v>29.93</v>
      </c>
      <c r="G11" s="111">
        <f>(F11/36*60)</f>
        <v>49.88333333333333</v>
      </c>
      <c r="H11" s="112">
        <v>0.025</v>
      </c>
      <c r="I11" s="113">
        <v>16</v>
      </c>
      <c r="J11" s="110" t="s">
        <v>53</v>
      </c>
      <c r="K11" s="111">
        <v>6.55</v>
      </c>
      <c r="L11" s="111">
        <v>49.99</v>
      </c>
      <c r="M11" s="111">
        <v>49</v>
      </c>
      <c r="N11" s="111"/>
      <c r="O11" s="114">
        <v>3</v>
      </c>
      <c r="P11" s="115">
        <f t="shared" si="1"/>
        <v>23.38</v>
      </c>
      <c r="Q11" s="116">
        <f t="shared" si="0"/>
        <v>0.6305555555555555</v>
      </c>
    </row>
    <row r="12" spans="3:17" ht="18" customHeight="1">
      <c r="C12" s="109">
        <v>18</v>
      </c>
      <c r="D12" s="110" t="s">
        <v>52</v>
      </c>
      <c r="E12" s="110" t="s">
        <v>54</v>
      </c>
      <c r="F12" s="111">
        <v>29.36</v>
      </c>
      <c r="G12" s="111">
        <f>(F12/35*60)</f>
        <v>50.331428571428575</v>
      </c>
      <c r="H12" s="112">
        <v>0.024305555555555556</v>
      </c>
      <c r="I12" s="113">
        <v>17</v>
      </c>
      <c r="J12" s="110" t="s">
        <v>55</v>
      </c>
      <c r="K12" s="111">
        <v>18.64</v>
      </c>
      <c r="L12" s="111">
        <v>49.99</v>
      </c>
      <c r="M12" s="111">
        <v>48</v>
      </c>
      <c r="N12" s="111"/>
      <c r="O12" s="114">
        <v>6</v>
      </c>
      <c r="P12" s="115">
        <f t="shared" si="1"/>
        <v>10.719999999999999</v>
      </c>
      <c r="Q12" s="116">
        <f t="shared" si="0"/>
        <v>0.6555555555555556</v>
      </c>
    </row>
    <row r="13" spans="3:18" ht="18" customHeight="1">
      <c r="C13" s="109">
        <v>19</v>
      </c>
      <c r="D13" s="110" t="s">
        <v>54</v>
      </c>
      <c r="E13" s="110" t="s">
        <v>56</v>
      </c>
      <c r="F13" s="111">
        <v>35.26</v>
      </c>
      <c r="G13" s="111">
        <f>(F13/43*60)</f>
        <v>49.199999999999996</v>
      </c>
      <c r="H13" s="112">
        <v>0.029861111111111113</v>
      </c>
      <c r="I13" s="113">
        <v>18</v>
      </c>
      <c r="J13" s="110" t="s">
        <v>57</v>
      </c>
      <c r="K13" s="111">
        <v>11.61</v>
      </c>
      <c r="L13" s="111">
        <v>49.99</v>
      </c>
      <c r="M13" s="111">
        <v>49</v>
      </c>
      <c r="N13" s="111"/>
      <c r="O13" s="114">
        <v>2</v>
      </c>
      <c r="P13" s="115">
        <f t="shared" si="1"/>
        <v>23.65</v>
      </c>
      <c r="Q13" s="116">
        <f t="shared" si="0"/>
        <v>0.6798611111111111</v>
      </c>
      <c r="R13" s="108" t="s">
        <v>173</v>
      </c>
    </row>
    <row r="14" spans="3:17" ht="18" customHeight="1">
      <c r="C14" s="109">
        <v>20</v>
      </c>
      <c r="D14" s="110" t="s">
        <v>56</v>
      </c>
      <c r="E14" s="110" t="s">
        <v>58</v>
      </c>
      <c r="F14" s="111">
        <v>38.82</v>
      </c>
      <c r="G14" s="111">
        <f>(F14/46*60)</f>
        <v>50.63478260869565</v>
      </c>
      <c r="H14" s="112">
        <v>0.03194444444444445</v>
      </c>
      <c r="I14" s="113">
        <v>19</v>
      </c>
      <c r="J14" s="110" t="s">
        <v>59</v>
      </c>
      <c r="K14" s="111">
        <v>15.52</v>
      </c>
      <c r="L14" s="111" t="s">
        <v>157</v>
      </c>
      <c r="M14" s="111" t="s">
        <v>157</v>
      </c>
      <c r="N14" s="111"/>
      <c r="O14" s="114">
        <v>5</v>
      </c>
      <c r="P14" s="115">
        <f t="shared" si="1"/>
        <v>23.3</v>
      </c>
      <c r="Q14" s="116">
        <f t="shared" si="0"/>
        <v>0.7097222222222223</v>
      </c>
    </row>
    <row r="15" spans="3:17" ht="18" customHeight="1">
      <c r="C15" s="109">
        <v>21</v>
      </c>
      <c r="D15" s="110" t="s">
        <v>58</v>
      </c>
      <c r="E15" s="110" t="s">
        <v>60</v>
      </c>
      <c r="F15" s="111">
        <v>10.77</v>
      </c>
      <c r="G15" s="111">
        <f>(F15/13*60)</f>
        <v>49.707692307692305</v>
      </c>
      <c r="H15" s="112">
        <v>0.009027777777777779</v>
      </c>
      <c r="I15" s="113">
        <v>20</v>
      </c>
      <c r="J15" s="110" t="s">
        <v>161</v>
      </c>
      <c r="K15" s="111">
        <v>7.67</v>
      </c>
      <c r="L15" s="111">
        <v>49.99</v>
      </c>
      <c r="M15" s="111">
        <v>48</v>
      </c>
      <c r="N15" s="111"/>
      <c r="O15" s="114">
        <v>4</v>
      </c>
      <c r="P15" s="115">
        <f t="shared" si="1"/>
        <v>3.0999999999999996</v>
      </c>
      <c r="Q15" s="116">
        <f t="shared" si="0"/>
        <v>0.7416666666666667</v>
      </c>
    </row>
    <row r="16" spans="3:17" ht="18" customHeight="1">
      <c r="C16" s="109">
        <v>22</v>
      </c>
      <c r="D16" s="110" t="s">
        <v>60</v>
      </c>
      <c r="E16" s="110" t="s">
        <v>61</v>
      </c>
      <c r="F16" s="111">
        <v>39.01</v>
      </c>
      <c r="G16" s="111">
        <f>(F16/47*60)</f>
        <v>49.8</v>
      </c>
      <c r="H16" s="112">
        <v>0.03263888888888889</v>
      </c>
      <c r="I16" s="113">
        <v>21</v>
      </c>
      <c r="J16" s="110" t="s">
        <v>62</v>
      </c>
      <c r="K16" s="111">
        <v>32.19</v>
      </c>
      <c r="L16" s="111" t="s">
        <v>158</v>
      </c>
      <c r="M16" s="111" t="s">
        <v>158</v>
      </c>
      <c r="N16" s="111"/>
      <c r="O16" s="114">
        <v>10</v>
      </c>
      <c r="P16" s="115">
        <f t="shared" si="1"/>
        <v>6.82</v>
      </c>
      <c r="Q16" s="116">
        <f t="shared" si="0"/>
        <v>0.7506944444444444</v>
      </c>
    </row>
    <row r="17" spans="3:17" ht="18" customHeight="1">
      <c r="C17" s="109">
        <v>23</v>
      </c>
      <c r="D17" s="110" t="s">
        <v>61</v>
      </c>
      <c r="E17" s="110" t="s">
        <v>63</v>
      </c>
      <c r="F17" s="111">
        <v>34.56</v>
      </c>
      <c r="G17" s="111">
        <f>(F17/42*60)</f>
        <v>49.37142857142858</v>
      </c>
      <c r="H17" s="112">
        <v>0.029166666666666664</v>
      </c>
      <c r="I17" s="113">
        <v>22</v>
      </c>
      <c r="J17" s="110" t="s">
        <v>64</v>
      </c>
      <c r="K17" s="111">
        <v>22.96</v>
      </c>
      <c r="L17" s="111">
        <v>49.99</v>
      </c>
      <c r="M17" s="111">
        <v>48</v>
      </c>
      <c r="N17" s="111"/>
      <c r="O17" s="114">
        <v>8</v>
      </c>
      <c r="P17" s="115">
        <f t="shared" si="1"/>
        <v>11.600000000000001</v>
      </c>
      <c r="Q17" s="116">
        <f t="shared" si="0"/>
        <v>0.7833333333333333</v>
      </c>
    </row>
    <row r="18" spans="3:17" ht="18" customHeight="1">
      <c r="C18" s="109">
        <v>24</v>
      </c>
      <c r="D18" s="110" t="s">
        <v>63</v>
      </c>
      <c r="E18" s="110" t="s">
        <v>65</v>
      </c>
      <c r="F18" s="111">
        <v>52.52</v>
      </c>
      <c r="G18" s="111">
        <f>(F18/63*60)</f>
        <v>50.019047619047626</v>
      </c>
      <c r="H18" s="112">
        <v>0.04375</v>
      </c>
      <c r="I18" s="113">
        <v>23</v>
      </c>
      <c r="J18" s="110" t="s">
        <v>66</v>
      </c>
      <c r="K18" s="111">
        <v>41.07</v>
      </c>
      <c r="L18" s="111" t="s">
        <v>159</v>
      </c>
      <c r="M18" s="111" t="s">
        <v>159</v>
      </c>
      <c r="N18" s="111">
        <v>0.17</v>
      </c>
      <c r="O18" s="114">
        <v>12</v>
      </c>
      <c r="P18" s="115">
        <f t="shared" si="1"/>
        <v>11.450000000000003</v>
      </c>
      <c r="Q18" s="116">
        <f t="shared" si="0"/>
        <v>0.8125</v>
      </c>
    </row>
    <row r="19" spans="3:17" ht="18" customHeight="1">
      <c r="C19" s="109">
        <v>25</v>
      </c>
      <c r="D19" s="110" t="s">
        <v>65</v>
      </c>
      <c r="E19" s="110" t="s">
        <v>67</v>
      </c>
      <c r="F19" s="111">
        <v>8.68</v>
      </c>
      <c r="G19" s="111">
        <f>(F19/11*60)</f>
        <v>47.345454545454544</v>
      </c>
      <c r="H19" s="112">
        <v>0.007638888888888889</v>
      </c>
      <c r="I19" s="113">
        <v>24</v>
      </c>
      <c r="J19" s="110" t="s">
        <v>68</v>
      </c>
      <c r="K19" s="111">
        <v>2.21</v>
      </c>
      <c r="L19" s="111">
        <v>49.99</v>
      </c>
      <c r="M19" s="111">
        <v>49</v>
      </c>
      <c r="N19" s="111"/>
      <c r="O19" s="114">
        <v>1</v>
      </c>
      <c r="P19" s="115">
        <f t="shared" si="1"/>
        <v>6.47</v>
      </c>
      <c r="Q19" s="116">
        <f t="shared" si="0"/>
        <v>0.85625</v>
      </c>
    </row>
    <row r="20" spans="3:17" ht="18" customHeight="1">
      <c r="C20" s="109">
        <v>26</v>
      </c>
      <c r="D20" s="110" t="s">
        <v>67</v>
      </c>
      <c r="E20" s="110" t="s">
        <v>69</v>
      </c>
      <c r="F20" s="111">
        <v>7.92</v>
      </c>
      <c r="G20" s="111">
        <f>(F20/10*60)</f>
        <v>47.52</v>
      </c>
      <c r="H20" s="112">
        <v>0.006944444444444444</v>
      </c>
      <c r="I20" s="113">
        <v>25</v>
      </c>
      <c r="J20" s="110" t="s">
        <v>70</v>
      </c>
      <c r="K20" s="111">
        <v>7.89</v>
      </c>
      <c r="L20" s="111" t="s">
        <v>151</v>
      </c>
      <c r="M20" s="111" t="s">
        <v>151</v>
      </c>
      <c r="N20" s="111"/>
      <c r="O20" s="114">
        <v>12</v>
      </c>
      <c r="P20" s="115">
        <f t="shared" si="1"/>
        <v>0.03000000000000025</v>
      </c>
      <c r="Q20" s="116">
        <f t="shared" si="0"/>
        <v>0.8638888888888888</v>
      </c>
    </row>
    <row r="21" spans="3:17" ht="18" customHeight="1">
      <c r="C21" s="109">
        <v>27</v>
      </c>
      <c r="D21" s="110" t="s">
        <v>69</v>
      </c>
      <c r="E21" s="110" t="s">
        <v>71</v>
      </c>
      <c r="F21" s="111">
        <v>12.72</v>
      </c>
      <c r="G21" s="111">
        <f>(F21/16*60)</f>
        <v>47.7</v>
      </c>
      <c r="H21" s="112">
        <v>0.011111111111111112</v>
      </c>
      <c r="I21" s="113">
        <v>26</v>
      </c>
      <c r="J21" s="110" t="s">
        <v>72</v>
      </c>
      <c r="K21" s="111">
        <v>8.49</v>
      </c>
      <c r="L21" s="111" t="s">
        <v>160</v>
      </c>
      <c r="M21" s="111" t="s">
        <v>160</v>
      </c>
      <c r="N21" s="111"/>
      <c r="O21" s="114">
        <v>6</v>
      </c>
      <c r="P21" s="115">
        <f t="shared" si="1"/>
        <v>4.23</v>
      </c>
      <c r="Q21" s="116">
        <f t="shared" si="0"/>
        <v>0.8708333333333332</v>
      </c>
    </row>
    <row r="22" spans="3:18" s="89" customFormat="1" ht="16.5">
      <c r="C22" s="113"/>
      <c r="D22" s="117"/>
      <c r="E22" s="117"/>
      <c r="F22" s="118">
        <f>SUM(F4:F21)</f>
        <v>429.57</v>
      </c>
      <c r="G22" s="118">
        <f>(F22/520*60)</f>
        <v>49.565769230769234</v>
      </c>
      <c r="H22" s="112">
        <f>SUM(H4:H21)</f>
        <v>0.3611111111111111</v>
      </c>
      <c r="I22" s="113"/>
      <c r="J22" s="117"/>
      <c r="K22" s="118">
        <f>SUM(K5:K21)</f>
        <v>227.87</v>
      </c>
      <c r="L22" s="118"/>
      <c r="M22" s="118"/>
      <c r="N22" s="118">
        <f>SUM(N5:N21)</f>
        <v>0.17</v>
      </c>
      <c r="O22" s="119">
        <f>SUM(O5:O21)</f>
        <v>85</v>
      </c>
      <c r="P22" s="120">
        <v>202.12</v>
      </c>
      <c r="Q22" s="116">
        <f t="shared" si="0"/>
        <v>0.8819444444444443</v>
      </c>
      <c r="R22" s="121" t="s">
        <v>18</v>
      </c>
    </row>
    <row r="23" spans="3:17" s="89" customFormat="1" ht="16.5" thickBot="1">
      <c r="C23" s="122"/>
      <c r="D23" s="123"/>
      <c r="E23" s="123"/>
      <c r="F23" s="124"/>
      <c r="G23" s="124"/>
      <c r="H23" s="125"/>
      <c r="I23" s="122"/>
      <c r="J23" s="123"/>
      <c r="K23" s="126">
        <f>(K22/F22)</f>
        <v>0.5304606932513909</v>
      </c>
      <c r="L23" s="124"/>
      <c r="M23" s="124"/>
      <c r="N23" s="126">
        <f>(N22/K22)</f>
        <v>0.0007460394084346339</v>
      </c>
      <c r="O23" s="127"/>
      <c r="P23" s="128">
        <f>(P22/F22)</f>
        <v>0.4705170286565636</v>
      </c>
      <c r="Q23" s="129"/>
    </row>
    <row r="24" spans="1:17" ht="16.5">
      <c r="A24" s="108">
        <v>4</v>
      </c>
      <c r="B24" s="108" t="s">
        <v>73</v>
      </c>
      <c r="P24" s="130" t="s">
        <v>18</v>
      </c>
      <c r="Q24" s="131">
        <v>0.8819444444444445</v>
      </c>
    </row>
    <row r="25" spans="1:17" ht="16.5">
      <c r="A25" s="108">
        <v>5</v>
      </c>
      <c r="B25" s="108" t="s">
        <v>74</v>
      </c>
      <c r="H25" s="131">
        <v>0.04861111111111111</v>
      </c>
      <c r="P25" s="130" t="s">
        <v>18</v>
      </c>
      <c r="Q25" s="131">
        <f>(Q22+H25)</f>
        <v>0.9305555555555555</v>
      </c>
    </row>
  </sheetData>
  <mergeCells count="2">
    <mergeCell ref="C1:H1"/>
    <mergeCell ref="I1:O1"/>
  </mergeCells>
  <printOptions gridLines="1" horizontalCentered="1"/>
  <pageMargins left="0.07874015748031496" right="0.4724409448818898" top="0.984251968503937" bottom="0.5511811023622047" header="0.5118110236220472" footer="0.5118110236220472"/>
  <pageSetup horizontalDpi="600" verticalDpi="600" orientation="landscape" paperSize="9" r:id="rId1"/>
  <headerFooter alignWithMargins="0">
    <oddHeader>&amp;C&amp;"Arial,Italique"&amp;14étape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0"/>
  </sheetPr>
  <dimension ref="A1:Q21"/>
  <sheetViews>
    <sheetView workbookViewId="0" topLeftCell="A1">
      <selection activeCell="A1" sqref="A1:Q16384"/>
    </sheetView>
  </sheetViews>
  <sheetFormatPr defaultColWidth="11.421875" defaultRowHeight="12.75"/>
  <cols>
    <col min="1" max="1" width="4.421875" style="108" bestFit="1" customWidth="1"/>
    <col min="2" max="2" width="13.57421875" style="108" bestFit="1" customWidth="1"/>
    <col min="3" max="3" width="4.140625" style="108" bestFit="1" customWidth="1"/>
    <col min="4" max="4" width="7.421875" style="108" bestFit="1" customWidth="1"/>
    <col min="5" max="5" width="8.00390625" style="108" bestFit="1" customWidth="1"/>
    <col min="6" max="6" width="8.00390625" style="130" bestFit="1" customWidth="1"/>
    <col min="7" max="7" width="6.7109375" style="130" bestFit="1" customWidth="1"/>
    <col min="8" max="8" width="10.421875" style="131" bestFit="1" customWidth="1"/>
    <col min="9" max="9" width="3.57421875" style="89" bestFit="1" customWidth="1"/>
    <col min="10" max="10" width="12.28125" style="108" bestFit="1" customWidth="1"/>
    <col min="11" max="11" width="8.00390625" style="130" bestFit="1" customWidth="1"/>
    <col min="12" max="13" width="6.7109375" style="130" bestFit="1" customWidth="1"/>
    <col min="14" max="14" width="7.57421875" style="130" bestFit="1" customWidth="1"/>
    <col min="15" max="15" width="5.8515625" style="132" bestFit="1" customWidth="1"/>
    <col min="16" max="16" width="8.00390625" style="130" bestFit="1" customWidth="1"/>
    <col min="17" max="17" width="10.421875" style="131" bestFit="1" customWidth="1"/>
    <col min="18" max="16384" width="10.8515625" style="108" customWidth="1"/>
  </cols>
  <sheetData>
    <row r="1" spans="1:17" s="89" customFormat="1" ht="16.5">
      <c r="A1" s="89" t="s">
        <v>0</v>
      </c>
      <c r="C1" s="90" t="s">
        <v>1</v>
      </c>
      <c r="D1" s="91"/>
      <c r="E1" s="91"/>
      <c r="F1" s="91"/>
      <c r="G1" s="91"/>
      <c r="H1" s="92"/>
      <c r="I1" s="93" t="s">
        <v>170</v>
      </c>
      <c r="J1" s="94"/>
      <c r="K1" s="94"/>
      <c r="L1" s="94"/>
      <c r="M1" s="94"/>
      <c r="N1" s="94"/>
      <c r="O1" s="95"/>
      <c r="P1" s="96" t="s">
        <v>2</v>
      </c>
      <c r="Q1" s="97" t="s">
        <v>3</v>
      </c>
    </row>
    <row r="2" spans="1:17" s="89" customFormat="1" ht="16.5">
      <c r="A2" s="89" t="s">
        <v>4</v>
      </c>
      <c r="B2" s="89" t="s">
        <v>5</v>
      </c>
      <c r="C2" s="98" t="s">
        <v>4</v>
      </c>
      <c r="D2" s="99" t="s">
        <v>6</v>
      </c>
      <c r="E2" s="99" t="s">
        <v>7</v>
      </c>
      <c r="F2" s="100" t="s">
        <v>11</v>
      </c>
      <c r="G2" s="100" t="s">
        <v>36</v>
      </c>
      <c r="H2" s="101" t="s">
        <v>37</v>
      </c>
      <c r="I2" s="102" t="s">
        <v>4</v>
      </c>
      <c r="J2" s="103" t="s">
        <v>5</v>
      </c>
      <c r="K2" s="104" t="s">
        <v>11</v>
      </c>
      <c r="L2" s="104" t="s">
        <v>12</v>
      </c>
      <c r="M2" s="104" t="s">
        <v>13</v>
      </c>
      <c r="N2" s="104" t="s">
        <v>171</v>
      </c>
      <c r="O2" s="105" t="s">
        <v>14</v>
      </c>
      <c r="P2" s="106" t="s">
        <v>11</v>
      </c>
      <c r="Q2" s="107"/>
    </row>
    <row r="3" spans="1:17" ht="16.5">
      <c r="A3" s="108">
        <v>5</v>
      </c>
      <c r="B3" s="108" t="s">
        <v>75</v>
      </c>
      <c r="C3" s="109"/>
      <c r="D3" s="110"/>
      <c r="E3" s="110"/>
      <c r="F3" s="111"/>
      <c r="G3" s="111"/>
      <c r="H3" s="112"/>
      <c r="I3" s="113"/>
      <c r="J3" s="110"/>
      <c r="K3" s="111"/>
      <c r="L3" s="111"/>
      <c r="M3" s="111"/>
      <c r="N3" s="111"/>
      <c r="O3" s="114"/>
      <c r="P3" s="115"/>
      <c r="Q3" s="116">
        <v>0.9305555555555555</v>
      </c>
    </row>
    <row r="4" spans="3:17" ht="17.25" customHeight="1">
      <c r="C4" s="109">
        <v>28</v>
      </c>
      <c r="D4" s="110" t="s">
        <v>76</v>
      </c>
      <c r="E4" s="110" t="s">
        <v>77</v>
      </c>
      <c r="F4" s="111">
        <v>4.08</v>
      </c>
      <c r="G4" s="111">
        <f>(F4/5*60)</f>
        <v>48.96</v>
      </c>
      <c r="H4" s="112">
        <v>0.003472222222222222</v>
      </c>
      <c r="I4" s="113" t="s">
        <v>18</v>
      </c>
      <c r="J4" s="110"/>
      <c r="K4" s="111"/>
      <c r="L4" s="111">
        <v>49.99</v>
      </c>
      <c r="M4" s="111"/>
      <c r="N4" s="111"/>
      <c r="O4" s="114" t="s">
        <v>163</v>
      </c>
      <c r="P4" s="115">
        <v>4.08</v>
      </c>
      <c r="Q4" s="116">
        <v>0.9305555555555555</v>
      </c>
    </row>
    <row r="5" spans="1:17" ht="17.25" customHeight="1">
      <c r="A5" s="108" t="s">
        <v>18</v>
      </c>
      <c r="C5" s="109">
        <v>29</v>
      </c>
      <c r="D5" s="110" t="s">
        <v>77</v>
      </c>
      <c r="E5" s="110" t="s">
        <v>78</v>
      </c>
      <c r="F5" s="111">
        <v>11.48</v>
      </c>
      <c r="G5" s="111">
        <f>(F5/14*60)</f>
        <v>49.2</v>
      </c>
      <c r="H5" s="112">
        <v>0.009722222222222222</v>
      </c>
      <c r="I5" s="113">
        <v>27</v>
      </c>
      <c r="J5" s="110" t="s">
        <v>79</v>
      </c>
      <c r="K5" s="111">
        <v>9.32</v>
      </c>
      <c r="L5" s="111">
        <v>49.99</v>
      </c>
      <c r="M5" s="111">
        <v>49</v>
      </c>
      <c r="N5" s="111"/>
      <c r="O5" s="114">
        <v>3</v>
      </c>
      <c r="P5" s="115">
        <f>(F5-K5)</f>
        <v>2.16</v>
      </c>
      <c r="Q5" s="116">
        <f aca="true" t="shared" si="0" ref="Q5:Q18">(Q4+H4)</f>
        <v>0.9340277777777777</v>
      </c>
    </row>
    <row r="6" spans="3:17" ht="17.25" customHeight="1">
      <c r="C6" s="109">
        <v>30</v>
      </c>
      <c r="D6" s="110" t="s">
        <v>78</v>
      </c>
      <c r="E6" s="110" t="s">
        <v>80</v>
      </c>
      <c r="F6" s="111">
        <v>80.74</v>
      </c>
      <c r="G6" s="111">
        <f>(F6/91*60)</f>
        <v>53.23516483516483</v>
      </c>
      <c r="H6" s="112">
        <v>0.06319444444444444</v>
      </c>
      <c r="I6" s="113">
        <v>28</v>
      </c>
      <c r="J6" s="110" t="s">
        <v>81</v>
      </c>
      <c r="K6" s="111">
        <v>23.73</v>
      </c>
      <c r="L6" s="111">
        <v>49.99</v>
      </c>
      <c r="M6" s="111">
        <v>48</v>
      </c>
      <c r="N6" s="111"/>
      <c r="O6" s="114">
        <v>7</v>
      </c>
      <c r="P6" s="115">
        <f aca="true" t="shared" si="1" ref="P6:P17">(F6-K6)</f>
        <v>57.00999999999999</v>
      </c>
      <c r="Q6" s="116">
        <f t="shared" si="0"/>
        <v>0.9437499999999999</v>
      </c>
    </row>
    <row r="7" spans="3:17" ht="17.25" customHeight="1">
      <c r="C7" s="109">
        <v>31</v>
      </c>
      <c r="D7" s="110" t="s">
        <v>82</v>
      </c>
      <c r="E7" s="110" t="s">
        <v>83</v>
      </c>
      <c r="F7" s="111">
        <v>22.52</v>
      </c>
      <c r="G7" s="111">
        <f>(F7/27*60)</f>
        <v>50.044444444444444</v>
      </c>
      <c r="H7" s="112">
        <v>0.01875</v>
      </c>
      <c r="I7" s="113">
        <v>29</v>
      </c>
      <c r="J7" s="110" t="s">
        <v>84</v>
      </c>
      <c r="K7" s="111">
        <v>2.85</v>
      </c>
      <c r="L7" s="111">
        <v>49.99</v>
      </c>
      <c r="M7" s="111">
        <v>49</v>
      </c>
      <c r="N7" s="111"/>
      <c r="O7" s="114">
        <v>1</v>
      </c>
      <c r="P7" s="115">
        <f t="shared" si="1"/>
        <v>19.669999999999998</v>
      </c>
      <c r="Q7" s="116">
        <f t="shared" si="0"/>
        <v>1.0069444444444442</v>
      </c>
    </row>
    <row r="8" spans="3:17" ht="17.25" customHeight="1">
      <c r="C8" s="109">
        <v>32</v>
      </c>
      <c r="D8" s="110" t="s">
        <v>83</v>
      </c>
      <c r="E8" s="110" t="s">
        <v>85</v>
      </c>
      <c r="F8" s="111">
        <v>16.7</v>
      </c>
      <c r="G8" s="111">
        <f>(F8/20*60)</f>
        <v>50.099999999999994</v>
      </c>
      <c r="H8" s="112">
        <v>0.013888888888888888</v>
      </c>
      <c r="I8" s="113">
        <v>30</v>
      </c>
      <c r="J8" s="110" t="s">
        <v>86</v>
      </c>
      <c r="K8" s="111">
        <v>15.84</v>
      </c>
      <c r="L8" s="111">
        <v>50</v>
      </c>
      <c r="M8" s="111">
        <v>49</v>
      </c>
      <c r="N8" s="111">
        <v>9.35</v>
      </c>
      <c r="O8" s="114">
        <v>1</v>
      </c>
      <c r="P8" s="115">
        <f t="shared" si="1"/>
        <v>0.8599999999999994</v>
      </c>
      <c r="Q8" s="116">
        <f t="shared" si="0"/>
        <v>1.0256944444444442</v>
      </c>
    </row>
    <row r="9" spans="3:17" ht="17.25" customHeight="1">
      <c r="C9" s="109">
        <v>33</v>
      </c>
      <c r="D9" s="110" t="s">
        <v>85</v>
      </c>
      <c r="E9" s="110" t="s">
        <v>87</v>
      </c>
      <c r="F9" s="111">
        <v>32.49</v>
      </c>
      <c r="G9" s="111">
        <f>(F9/39*60)</f>
        <v>49.98461538461539</v>
      </c>
      <c r="H9" s="112">
        <v>0.027083333333333334</v>
      </c>
      <c r="I9" s="113">
        <v>31</v>
      </c>
      <c r="J9" s="110" t="s">
        <v>88</v>
      </c>
      <c r="K9" s="111">
        <v>22.92</v>
      </c>
      <c r="L9" s="111">
        <v>49.99</v>
      </c>
      <c r="M9" s="111">
        <v>48</v>
      </c>
      <c r="N9" s="111"/>
      <c r="O9" s="114">
        <v>5</v>
      </c>
      <c r="P9" s="115">
        <f t="shared" si="1"/>
        <v>9.57</v>
      </c>
      <c r="Q9" s="116">
        <f t="shared" si="0"/>
        <v>1.039583333333333</v>
      </c>
    </row>
    <row r="10" spans="1:17" ht="17.25" customHeight="1">
      <c r="A10" s="108">
        <v>6</v>
      </c>
      <c r="B10" s="108" t="s">
        <v>165</v>
      </c>
      <c r="C10" s="109">
        <v>34</v>
      </c>
      <c r="D10" s="110" t="s">
        <v>89</v>
      </c>
      <c r="E10" s="110" t="s">
        <v>90</v>
      </c>
      <c r="F10" s="111">
        <v>7.86</v>
      </c>
      <c r="G10" s="111">
        <f>(F10/10*60)</f>
        <v>47.160000000000004</v>
      </c>
      <c r="H10" s="112">
        <v>0.006944444444444444</v>
      </c>
      <c r="I10" s="113">
        <v>32</v>
      </c>
      <c r="J10" s="110" t="s">
        <v>165</v>
      </c>
      <c r="K10" s="111">
        <v>4.98</v>
      </c>
      <c r="L10" s="111">
        <v>49.99</v>
      </c>
      <c r="M10" s="111">
        <v>49.99</v>
      </c>
      <c r="N10" s="111"/>
      <c r="O10" s="114">
        <v>1</v>
      </c>
      <c r="P10" s="115">
        <f t="shared" si="1"/>
        <v>2.88</v>
      </c>
      <c r="Q10" s="116">
        <f t="shared" si="0"/>
        <v>1.0666666666666664</v>
      </c>
    </row>
    <row r="11" spans="3:17" ht="17.25" customHeight="1">
      <c r="C11" s="109">
        <v>35</v>
      </c>
      <c r="D11" s="110" t="s">
        <v>90</v>
      </c>
      <c r="E11" s="110" t="s">
        <v>91</v>
      </c>
      <c r="F11" s="111">
        <v>18.71</v>
      </c>
      <c r="G11" s="111">
        <f>(F11/23*60)</f>
        <v>48.80869565217391</v>
      </c>
      <c r="H11" s="112">
        <v>0.015972222222222224</v>
      </c>
      <c r="I11" s="113">
        <v>33</v>
      </c>
      <c r="J11" s="110" t="s">
        <v>92</v>
      </c>
      <c r="K11" s="111">
        <v>17.22</v>
      </c>
      <c r="L11" s="111">
        <v>49.99</v>
      </c>
      <c r="M11" s="111">
        <v>49.99</v>
      </c>
      <c r="N11" s="111">
        <v>1.29</v>
      </c>
      <c r="O11" s="114">
        <v>5</v>
      </c>
      <c r="P11" s="115">
        <f t="shared" si="1"/>
        <v>1.490000000000002</v>
      </c>
      <c r="Q11" s="116">
        <f t="shared" si="0"/>
        <v>1.0736111111111108</v>
      </c>
    </row>
    <row r="12" spans="3:17" ht="17.25" customHeight="1">
      <c r="C12" s="109">
        <v>36</v>
      </c>
      <c r="D12" s="110" t="s">
        <v>91</v>
      </c>
      <c r="E12" s="110" t="s">
        <v>93</v>
      </c>
      <c r="F12" s="111">
        <v>6.13</v>
      </c>
      <c r="G12" s="111">
        <f>(F12/8*60)</f>
        <v>45.975</v>
      </c>
      <c r="H12" s="112">
        <v>0.005555555555555556</v>
      </c>
      <c r="I12" s="113">
        <v>34</v>
      </c>
      <c r="J12" s="110" t="s">
        <v>94</v>
      </c>
      <c r="K12" s="111">
        <v>4.26</v>
      </c>
      <c r="L12" s="111">
        <v>49.99</v>
      </c>
      <c r="M12" s="111">
        <v>49.99</v>
      </c>
      <c r="N12" s="111"/>
      <c r="O12" s="114">
        <v>1</v>
      </c>
      <c r="P12" s="115">
        <f t="shared" si="1"/>
        <v>1.87</v>
      </c>
      <c r="Q12" s="116">
        <f t="shared" si="0"/>
        <v>1.0895833333333331</v>
      </c>
    </row>
    <row r="13" spans="3:17" ht="17.25" customHeight="1">
      <c r="C13" s="109">
        <v>37</v>
      </c>
      <c r="D13" s="110" t="s">
        <v>93</v>
      </c>
      <c r="E13" s="110" t="s">
        <v>95</v>
      </c>
      <c r="F13" s="111">
        <v>16.68</v>
      </c>
      <c r="G13" s="111">
        <f>(F13/20*60)</f>
        <v>50.04</v>
      </c>
      <c r="H13" s="112">
        <v>0.013888888888888888</v>
      </c>
      <c r="I13" s="113">
        <v>35</v>
      </c>
      <c r="J13" s="110" t="s">
        <v>96</v>
      </c>
      <c r="K13" s="111">
        <v>15.32</v>
      </c>
      <c r="L13" s="111">
        <v>49.99</v>
      </c>
      <c r="M13" s="111">
        <v>49.99</v>
      </c>
      <c r="N13" s="111"/>
      <c r="O13" s="114">
        <v>4</v>
      </c>
      <c r="P13" s="115">
        <f t="shared" si="1"/>
        <v>1.3599999999999994</v>
      </c>
      <c r="Q13" s="116">
        <f t="shared" si="0"/>
        <v>1.0951388888888887</v>
      </c>
    </row>
    <row r="14" spans="3:17" ht="17.25" customHeight="1">
      <c r="C14" s="109">
        <v>38</v>
      </c>
      <c r="D14" s="110" t="s">
        <v>95</v>
      </c>
      <c r="E14" s="110" t="s">
        <v>97</v>
      </c>
      <c r="F14" s="111">
        <v>31.65</v>
      </c>
      <c r="G14" s="111">
        <f>(F14/37*60)</f>
        <v>51.32432432432432</v>
      </c>
      <c r="H14" s="112">
        <v>0.025694444444444447</v>
      </c>
      <c r="I14" s="113">
        <v>36</v>
      </c>
      <c r="J14" s="110" t="s">
        <v>98</v>
      </c>
      <c r="K14" s="111">
        <v>31.65</v>
      </c>
      <c r="L14" s="111">
        <v>49.99</v>
      </c>
      <c r="M14" s="111">
        <v>49.99</v>
      </c>
      <c r="N14" s="111">
        <v>8.99</v>
      </c>
      <c r="O14" s="114">
        <v>10</v>
      </c>
      <c r="P14" s="115">
        <f t="shared" si="1"/>
        <v>0</v>
      </c>
      <c r="Q14" s="116">
        <f t="shared" si="0"/>
        <v>1.1090277777777775</v>
      </c>
    </row>
    <row r="15" spans="1:17" ht="17.25" customHeight="1">
      <c r="A15" s="108">
        <v>7</v>
      </c>
      <c r="B15" s="108" t="s">
        <v>166</v>
      </c>
      <c r="C15" s="109">
        <v>39</v>
      </c>
      <c r="D15" s="110" t="s">
        <v>97</v>
      </c>
      <c r="E15" s="110" t="s">
        <v>99</v>
      </c>
      <c r="F15" s="111">
        <v>25.09</v>
      </c>
      <c r="G15" s="111">
        <f>(F15/31*60)</f>
        <v>48.561290322580646</v>
      </c>
      <c r="H15" s="112">
        <v>0.02152777777777778</v>
      </c>
      <c r="I15" s="113" t="s">
        <v>18</v>
      </c>
      <c r="J15" s="110"/>
      <c r="K15" s="111"/>
      <c r="L15" s="111" t="s">
        <v>18</v>
      </c>
      <c r="M15" s="111"/>
      <c r="N15" s="111"/>
      <c r="O15" s="114"/>
      <c r="P15" s="115">
        <f t="shared" si="1"/>
        <v>25.09</v>
      </c>
      <c r="Q15" s="116">
        <f t="shared" si="0"/>
        <v>1.134722222222222</v>
      </c>
    </row>
    <row r="16" spans="3:17" ht="17.25" customHeight="1">
      <c r="C16" s="109">
        <v>40</v>
      </c>
      <c r="D16" s="110" t="s">
        <v>99</v>
      </c>
      <c r="E16" s="110" t="s">
        <v>100</v>
      </c>
      <c r="F16" s="111">
        <v>75.81</v>
      </c>
      <c r="G16" s="111">
        <f>(F16/90*60)</f>
        <v>50.540000000000006</v>
      </c>
      <c r="H16" s="112">
        <v>0.0625</v>
      </c>
      <c r="I16" s="113">
        <v>37</v>
      </c>
      <c r="J16" s="110" t="s">
        <v>101</v>
      </c>
      <c r="K16" s="111">
        <v>55.18</v>
      </c>
      <c r="L16" s="111">
        <v>49.99</v>
      </c>
      <c r="M16" s="111">
        <v>48</v>
      </c>
      <c r="N16" s="111">
        <v>7.24</v>
      </c>
      <c r="O16" s="114">
        <v>16</v>
      </c>
      <c r="P16" s="115">
        <f t="shared" si="1"/>
        <v>20.630000000000003</v>
      </c>
      <c r="Q16" s="116">
        <f t="shared" si="0"/>
        <v>1.1562499999999998</v>
      </c>
    </row>
    <row r="17" spans="3:17" ht="17.25" customHeight="1">
      <c r="C17" s="109">
        <v>41</v>
      </c>
      <c r="D17" s="110" t="s">
        <v>100</v>
      </c>
      <c r="E17" s="110" t="s">
        <v>102</v>
      </c>
      <c r="F17" s="111">
        <v>69.18</v>
      </c>
      <c r="G17" s="111">
        <f>(F17/83*60)</f>
        <v>50.00963855421687</v>
      </c>
      <c r="H17" s="112">
        <v>0.057638888888888885</v>
      </c>
      <c r="I17" s="113">
        <v>38</v>
      </c>
      <c r="J17" s="110" t="s">
        <v>103</v>
      </c>
      <c r="K17" s="111">
        <v>16.19</v>
      </c>
      <c r="L17" s="111" t="s">
        <v>164</v>
      </c>
      <c r="M17" s="111" t="s">
        <v>164</v>
      </c>
      <c r="N17" s="111">
        <v>1.95</v>
      </c>
      <c r="O17" s="114">
        <v>8</v>
      </c>
      <c r="P17" s="115">
        <f t="shared" si="1"/>
        <v>52.99000000000001</v>
      </c>
      <c r="Q17" s="116">
        <f t="shared" si="0"/>
        <v>1.2187499999999998</v>
      </c>
    </row>
    <row r="18" spans="3:17" s="89" customFormat="1" ht="16.5">
      <c r="C18" s="113"/>
      <c r="D18" s="117"/>
      <c r="E18" s="117"/>
      <c r="F18" s="118">
        <f>SUM(F4:F17)</f>
        <v>419.12</v>
      </c>
      <c r="G18" s="118">
        <f>(F18/498*60)</f>
        <v>50.49638554216868</v>
      </c>
      <c r="H18" s="112">
        <f>SUM(H4:H17)</f>
        <v>0.3458333333333334</v>
      </c>
      <c r="I18" s="113"/>
      <c r="J18" s="117"/>
      <c r="K18" s="118">
        <f>SUM(K5:K17)</f>
        <v>219.46</v>
      </c>
      <c r="L18" s="118"/>
      <c r="M18" s="118"/>
      <c r="N18" s="118">
        <f>SUM(N8:N17)</f>
        <v>28.820000000000004</v>
      </c>
      <c r="O18" s="119">
        <v>62</v>
      </c>
      <c r="P18" s="133">
        <f>SUM(P4:P17)</f>
        <v>199.66000000000003</v>
      </c>
      <c r="Q18" s="116">
        <f t="shared" si="0"/>
        <v>1.2763888888888886</v>
      </c>
    </row>
    <row r="19" spans="3:17" s="89" customFormat="1" ht="16.5" thickBot="1">
      <c r="C19" s="122"/>
      <c r="D19" s="123"/>
      <c r="E19" s="123"/>
      <c r="F19" s="124"/>
      <c r="G19" s="124"/>
      <c r="H19" s="125"/>
      <c r="I19" s="122"/>
      <c r="J19" s="123"/>
      <c r="K19" s="126">
        <f>(K18/F18)</f>
        <v>0.5236209200229052</v>
      </c>
      <c r="L19" s="124"/>
      <c r="M19" s="124"/>
      <c r="N19" s="126">
        <f>(N18/K18)</f>
        <v>0.13132233664449103</v>
      </c>
      <c r="O19" s="127" t="s">
        <v>18</v>
      </c>
      <c r="P19" s="128">
        <f>(P18/F18)</f>
        <v>0.47637907997709494</v>
      </c>
      <c r="Q19" s="129"/>
    </row>
    <row r="20" spans="1:17" ht="16.5">
      <c r="A20" s="108">
        <v>8</v>
      </c>
      <c r="B20" s="108" t="s">
        <v>104</v>
      </c>
      <c r="C20" s="108" t="s">
        <v>34</v>
      </c>
      <c r="O20" s="132" t="s">
        <v>18</v>
      </c>
      <c r="Q20" s="131">
        <f>Q18</f>
        <v>1.2763888888888886</v>
      </c>
    </row>
    <row r="21" spans="1:17" ht="16.5">
      <c r="A21" s="108">
        <v>9</v>
      </c>
      <c r="B21" s="108" t="s">
        <v>104</v>
      </c>
      <c r="C21" s="108" t="s">
        <v>35</v>
      </c>
      <c r="H21" s="131">
        <v>0.05</v>
      </c>
      <c r="Q21" s="131">
        <f>(Q20+H21)</f>
        <v>1.3263888888888886</v>
      </c>
    </row>
  </sheetData>
  <mergeCells count="2">
    <mergeCell ref="C1:H1"/>
    <mergeCell ref="I1:O1"/>
  </mergeCells>
  <printOptions gridLines="1"/>
  <pageMargins left="0.75" right="0.48" top="1.32" bottom="1" header="0.4921259845" footer="0.4921259845"/>
  <pageSetup horizontalDpi="600" verticalDpi="600" orientation="landscape" paperSize="9" r:id="rId1"/>
  <headerFooter alignWithMargins="0">
    <oddHeader>&amp;C&amp;14étape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Q14"/>
  <sheetViews>
    <sheetView workbookViewId="0" topLeftCell="A1">
      <selection activeCell="A1" sqref="A1:Q16384"/>
    </sheetView>
  </sheetViews>
  <sheetFormatPr defaultColWidth="11.421875" defaultRowHeight="12.75"/>
  <cols>
    <col min="1" max="1" width="4.421875" style="108" bestFit="1" customWidth="1"/>
    <col min="2" max="2" width="12.57421875" style="108" bestFit="1" customWidth="1"/>
    <col min="3" max="3" width="7.140625" style="108" bestFit="1" customWidth="1"/>
    <col min="4" max="4" width="7.421875" style="108" bestFit="1" customWidth="1"/>
    <col min="5" max="5" width="7.57421875" style="108" bestFit="1" customWidth="1"/>
    <col min="6" max="6" width="8.00390625" style="130" bestFit="1" customWidth="1"/>
    <col min="7" max="7" width="6.7109375" style="130" bestFit="1" customWidth="1"/>
    <col min="8" max="8" width="10.421875" style="131" bestFit="1" customWidth="1"/>
    <col min="9" max="9" width="3.57421875" style="89" bestFit="1" customWidth="1"/>
    <col min="10" max="10" width="11.140625" style="108" bestFit="1" customWidth="1"/>
    <col min="11" max="11" width="7.57421875" style="130" bestFit="1" customWidth="1"/>
    <col min="12" max="13" width="6.7109375" style="130" bestFit="1" customWidth="1"/>
    <col min="14" max="14" width="6.8515625" style="130" bestFit="1" customWidth="1"/>
    <col min="15" max="15" width="5.8515625" style="132" bestFit="1" customWidth="1"/>
    <col min="16" max="16" width="8.00390625" style="130" bestFit="1" customWidth="1"/>
    <col min="17" max="17" width="10.421875" style="131" bestFit="1" customWidth="1"/>
    <col min="18" max="16384" width="10.8515625" style="108" customWidth="1"/>
  </cols>
  <sheetData>
    <row r="1" spans="1:17" s="89" customFormat="1" ht="16.5">
      <c r="A1" s="89" t="s">
        <v>0</v>
      </c>
      <c r="C1" s="134" t="s">
        <v>105</v>
      </c>
      <c r="D1" s="135" t="s">
        <v>6</v>
      </c>
      <c r="E1" s="135" t="s">
        <v>7</v>
      </c>
      <c r="F1" s="136" t="s">
        <v>11</v>
      </c>
      <c r="G1" s="136" t="s">
        <v>36</v>
      </c>
      <c r="H1" s="137" t="s">
        <v>37</v>
      </c>
      <c r="I1" s="93" t="s">
        <v>170</v>
      </c>
      <c r="J1" s="94"/>
      <c r="K1" s="94"/>
      <c r="L1" s="94"/>
      <c r="M1" s="94"/>
      <c r="N1" s="94"/>
      <c r="O1" s="95"/>
      <c r="P1" s="96" t="s">
        <v>2</v>
      </c>
      <c r="Q1" s="97" t="s">
        <v>3</v>
      </c>
    </row>
    <row r="2" spans="1:17" s="89" customFormat="1" ht="16.5">
      <c r="A2" s="89" t="s">
        <v>4</v>
      </c>
      <c r="B2" s="89" t="s">
        <v>5</v>
      </c>
      <c r="C2" s="98" t="s">
        <v>4</v>
      </c>
      <c r="D2" s="99"/>
      <c r="E2" s="99"/>
      <c r="F2" s="100"/>
      <c r="G2" s="100"/>
      <c r="H2" s="101"/>
      <c r="I2" s="102" t="s">
        <v>4</v>
      </c>
      <c r="J2" s="103" t="s">
        <v>5</v>
      </c>
      <c r="K2" s="104" t="s">
        <v>11</v>
      </c>
      <c r="L2" s="104" t="s">
        <v>12</v>
      </c>
      <c r="M2" s="104" t="s">
        <v>13</v>
      </c>
      <c r="N2" s="104" t="s">
        <v>171</v>
      </c>
      <c r="O2" s="105" t="s">
        <v>14</v>
      </c>
      <c r="P2" s="106" t="s">
        <v>11</v>
      </c>
      <c r="Q2" s="107"/>
    </row>
    <row r="3" spans="1:17" ht="16.5">
      <c r="A3" s="108">
        <v>9</v>
      </c>
      <c r="B3" s="108" t="s">
        <v>106</v>
      </c>
      <c r="C3" s="109" t="s">
        <v>35</v>
      </c>
      <c r="D3" s="110"/>
      <c r="E3" s="110"/>
      <c r="F3" s="111"/>
      <c r="G3" s="111"/>
      <c r="H3" s="112"/>
      <c r="I3" s="113"/>
      <c r="J3" s="110"/>
      <c r="K3" s="111"/>
      <c r="L3" s="111"/>
      <c r="M3" s="111"/>
      <c r="N3" s="111"/>
      <c r="O3" s="114"/>
      <c r="P3" s="115"/>
      <c r="Q3" s="116">
        <v>0.3263888888888889</v>
      </c>
    </row>
    <row r="4" spans="3:17" ht="24" customHeight="1">
      <c r="C4" s="109">
        <v>42</v>
      </c>
      <c r="D4" s="110" t="s">
        <v>107</v>
      </c>
      <c r="E4" s="110" t="s">
        <v>108</v>
      </c>
      <c r="F4" s="111">
        <v>28.89</v>
      </c>
      <c r="G4" s="111">
        <f>(F4/35*60)</f>
        <v>49.52571428571429</v>
      </c>
      <c r="H4" s="112">
        <v>0.024305555555555556</v>
      </c>
      <c r="I4" s="113"/>
      <c r="J4" s="110"/>
      <c r="K4" s="111"/>
      <c r="L4" s="111" t="s">
        <v>18</v>
      </c>
      <c r="M4" s="111"/>
      <c r="N4" s="111"/>
      <c r="O4" s="114"/>
      <c r="P4" s="115">
        <v>28.89</v>
      </c>
      <c r="Q4" s="116">
        <f>Q3</f>
        <v>0.3263888888888889</v>
      </c>
    </row>
    <row r="5" spans="1:17" ht="24" customHeight="1">
      <c r="A5" s="108" t="s">
        <v>18</v>
      </c>
      <c r="C5" s="109">
        <v>43</v>
      </c>
      <c r="D5" s="110" t="s">
        <v>108</v>
      </c>
      <c r="E5" s="110" t="s">
        <v>109</v>
      </c>
      <c r="F5" s="111">
        <v>6.85</v>
      </c>
      <c r="G5" s="111">
        <f>(F5/9*60)</f>
        <v>45.666666666666664</v>
      </c>
      <c r="H5" s="112">
        <v>0.00625</v>
      </c>
      <c r="I5" s="113">
        <v>39</v>
      </c>
      <c r="J5" s="110" t="s">
        <v>110</v>
      </c>
      <c r="K5" s="111">
        <v>2.75</v>
      </c>
      <c r="L5" s="111">
        <v>49.99</v>
      </c>
      <c r="M5" s="111">
        <v>49</v>
      </c>
      <c r="N5" s="111"/>
      <c r="O5" s="114">
        <v>1</v>
      </c>
      <c r="P5" s="115">
        <f aca="true" t="shared" si="0" ref="P5:P10">(F5-K5)</f>
        <v>4.1</v>
      </c>
      <c r="Q5" s="116">
        <f aca="true" t="shared" si="1" ref="Q5:Q11">(Q4+H4)</f>
        <v>0.3506944444444445</v>
      </c>
    </row>
    <row r="6" spans="3:17" ht="24" customHeight="1">
      <c r="C6" s="109">
        <v>44</v>
      </c>
      <c r="D6" s="110" t="s">
        <v>109</v>
      </c>
      <c r="E6" s="110" t="s">
        <v>111</v>
      </c>
      <c r="F6" s="111">
        <v>11.49</v>
      </c>
      <c r="G6" s="111">
        <f>(F6/14*60)</f>
        <v>49.24285714285715</v>
      </c>
      <c r="H6" s="112">
        <v>0.009722222222222222</v>
      </c>
      <c r="I6" s="113">
        <v>40</v>
      </c>
      <c r="J6" s="110" t="s">
        <v>112</v>
      </c>
      <c r="K6" s="111">
        <v>8.64</v>
      </c>
      <c r="L6" s="111" t="s">
        <v>167</v>
      </c>
      <c r="M6" s="111" t="s">
        <v>167</v>
      </c>
      <c r="N6" s="111"/>
      <c r="O6" s="114">
        <v>5</v>
      </c>
      <c r="P6" s="115">
        <f t="shared" si="0"/>
        <v>2.8499999999999996</v>
      </c>
      <c r="Q6" s="116">
        <f t="shared" si="1"/>
        <v>0.35694444444444445</v>
      </c>
    </row>
    <row r="7" spans="3:17" ht="24" customHeight="1">
      <c r="C7" s="109">
        <v>45</v>
      </c>
      <c r="D7" s="110" t="s">
        <v>111</v>
      </c>
      <c r="E7" s="110" t="s">
        <v>113</v>
      </c>
      <c r="F7" s="111">
        <v>19.58</v>
      </c>
      <c r="G7" s="111">
        <f>(F7/24*60)</f>
        <v>48.949999999999996</v>
      </c>
      <c r="H7" s="112">
        <v>0.016666666666666666</v>
      </c>
      <c r="I7" s="113">
        <v>41</v>
      </c>
      <c r="J7" s="110" t="s">
        <v>114</v>
      </c>
      <c r="K7" s="111">
        <v>12.47</v>
      </c>
      <c r="L7" s="111">
        <v>49.99</v>
      </c>
      <c r="M7" s="111">
        <v>49</v>
      </c>
      <c r="N7" s="111"/>
      <c r="O7" s="114">
        <v>2</v>
      </c>
      <c r="P7" s="115">
        <f t="shared" si="0"/>
        <v>7.109999999999998</v>
      </c>
      <c r="Q7" s="116">
        <f t="shared" si="1"/>
        <v>0.3666666666666667</v>
      </c>
    </row>
    <row r="8" spans="3:17" ht="24" customHeight="1">
      <c r="C8" s="109">
        <v>46</v>
      </c>
      <c r="D8" s="110" t="s">
        <v>113</v>
      </c>
      <c r="E8" s="110" t="s">
        <v>115</v>
      </c>
      <c r="F8" s="111">
        <v>79.98</v>
      </c>
      <c r="G8" s="111">
        <f>(F8/91*60)</f>
        <v>52.73406593406593</v>
      </c>
      <c r="H8" s="112">
        <v>0.06319444444444444</v>
      </c>
      <c r="I8" s="113">
        <v>42</v>
      </c>
      <c r="J8" s="110" t="s">
        <v>116</v>
      </c>
      <c r="K8" s="111">
        <v>18.11</v>
      </c>
      <c r="L8" s="111">
        <v>49.99</v>
      </c>
      <c r="M8" s="111">
        <v>49</v>
      </c>
      <c r="N8" s="111"/>
      <c r="O8" s="114">
        <v>4</v>
      </c>
      <c r="P8" s="115">
        <f t="shared" si="0"/>
        <v>61.870000000000005</v>
      </c>
      <c r="Q8" s="116">
        <f t="shared" si="1"/>
        <v>0.38333333333333336</v>
      </c>
    </row>
    <row r="9" spans="3:17" ht="24" customHeight="1">
      <c r="C9" s="109">
        <v>47</v>
      </c>
      <c r="D9" s="110" t="s">
        <v>115</v>
      </c>
      <c r="E9" s="110" t="s">
        <v>117</v>
      </c>
      <c r="F9" s="111">
        <v>43.64</v>
      </c>
      <c r="G9" s="111">
        <f>(F9/52*60)</f>
        <v>50.353846153846156</v>
      </c>
      <c r="H9" s="112">
        <v>0.036111111111111115</v>
      </c>
      <c r="I9" s="113">
        <v>43</v>
      </c>
      <c r="J9" s="110" t="s">
        <v>118</v>
      </c>
      <c r="K9" s="111">
        <v>15.36</v>
      </c>
      <c r="L9" s="111">
        <v>49.99</v>
      </c>
      <c r="M9" s="111">
        <v>48</v>
      </c>
      <c r="N9" s="111"/>
      <c r="O9" s="114">
        <v>3</v>
      </c>
      <c r="P9" s="115">
        <f t="shared" si="0"/>
        <v>28.28</v>
      </c>
      <c r="Q9" s="116">
        <f t="shared" si="1"/>
        <v>0.4465277777777778</v>
      </c>
    </row>
    <row r="10" spans="3:17" ht="24" customHeight="1">
      <c r="C10" s="109">
        <v>48</v>
      </c>
      <c r="D10" s="110" t="s">
        <v>117</v>
      </c>
      <c r="E10" s="110" t="s">
        <v>119</v>
      </c>
      <c r="F10" s="111">
        <v>21.3</v>
      </c>
      <c r="G10" s="111">
        <f>(F10/26*60)</f>
        <v>49.15384615384615</v>
      </c>
      <c r="H10" s="112">
        <v>0.018055555555555557</v>
      </c>
      <c r="I10" s="113">
        <v>44</v>
      </c>
      <c r="J10" s="110" t="s">
        <v>120</v>
      </c>
      <c r="K10" s="111">
        <v>9.93</v>
      </c>
      <c r="L10" s="111">
        <v>49.99</v>
      </c>
      <c r="M10" s="111">
        <v>49</v>
      </c>
      <c r="N10" s="111"/>
      <c r="O10" s="114">
        <v>1</v>
      </c>
      <c r="P10" s="115">
        <f t="shared" si="0"/>
        <v>11.370000000000001</v>
      </c>
      <c r="Q10" s="116">
        <f t="shared" si="1"/>
        <v>0.4826388888888889</v>
      </c>
    </row>
    <row r="11" spans="3:17" s="89" customFormat="1" ht="17.25" customHeight="1">
      <c r="C11" s="113"/>
      <c r="D11" s="117"/>
      <c r="E11" s="117"/>
      <c r="F11" s="118">
        <f>SUM(F4:F10)</f>
        <v>211.73000000000002</v>
      </c>
      <c r="G11" s="118">
        <f>(F11/251*60)</f>
        <v>50.61274900398407</v>
      </c>
      <c r="H11" s="112">
        <f>(H4+H5+H6+H7+H8+H9+H10)</f>
        <v>0.17430555555555555</v>
      </c>
      <c r="I11" s="113"/>
      <c r="J11" s="117"/>
      <c r="K11" s="118">
        <f>SUM(K5:K10)</f>
        <v>67.25999999999999</v>
      </c>
      <c r="L11" s="118"/>
      <c r="M11" s="118"/>
      <c r="N11" s="118"/>
      <c r="O11" s="119">
        <f>SUM(O5:O10)</f>
        <v>16</v>
      </c>
      <c r="P11" s="133">
        <f>SUM(P4:P10)</f>
        <v>144.47000000000003</v>
      </c>
      <c r="Q11" s="116">
        <f t="shared" si="1"/>
        <v>0.5006944444444444</v>
      </c>
    </row>
    <row r="12" spans="3:17" s="89" customFormat="1" ht="16.5" thickBot="1">
      <c r="C12" s="122"/>
      <c r="D12" s="123"/>
      <c r="E12" s="123"/>
      <c r="F12" s="124"/>
      <c r="G12" s="124"/>
      <c r="H12" s="125" t="s">
        <v>18</v>
      </c>
      <c r="I12" s="122"/>
      <c r="J12" s="123"/>
      <c r="K12" s="126">
        <f>(K11/F11)</f>
        <v>0.317668729041704</v>
      </c>
      <c r="L12" s="124"/>
      <c r="M12" s="124"/>
      <c r="N12" s="124"/>
      <c r="O12" s="127"/>
      <c r="P12" s="128">
        <f>(P11/F11)</f>
        <v>0.682331270958296</v>
      </c>
      <c r="Q12" s="129"/>
    </row>
    <row r="13" spans="1:17" ht="16.5">
      <c r="A13" s="108">
        <v>10</v>
      </c>
      <c r="B13" s="108" t="s">
        <v>121</v>
      </c>
      <c r="C13" s="108" t="s">
        <v>122</v>
      </c>
      <c r="H13" s="131" t="s">
        <v>18</v>
      </c>
      <c r="Q13" s="131">
        <f>Q11</f>
        <v>0.5006944444444444</v>
      </c>
    </row>
    <row r="14" spans="1:17" ht="16.5">
      <c r="A14" s="108">
        <v>11</v>
      </c>
      <c r="B14" s="108" t="s">
        <v>121</v>
      </c>
      <c r="C14" s="108" t="s">
        <v>123</v>
      </c>
      <c r="H14" s="131">
        <v>0.051388888888888894</v>
      </c>
      <c r="Q14" s="131">
        <f>(Q13+H14)</f>
        <v>0.5520833333333334</v>
      </c>
    </row>
  </sheetData>
  <mergeCells count="1">
    <mergeCell ref="I1:O1"/>
  </mergeCells>
  <printOptions gridLines="1" horizontalCentered="1"/>
  <pageMargins left="0.5511811023622047" right="0.4724409448818898" top="1.76" bottom="0.984251968503937" header="1.09" footer="0.5118110236220472"/>
  <pageSetup horizontalDpi="600" verticalDpi="600" orientation="landscape" paperSize="9" r:id="rId1"/>
  <headerFooter alignWithMargins="0">
    <oddHeader>&amp;C&amp;"Arial,Italique"&amp;14étape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0"/>
  </sheetPr>
  <dimension ref="A1:Q16"/>
  <sheetViews>
    <sheetView tabSelected="1" workbookViewId="0" topLeftCell="A1">
      <selection activeCell="A1" sqref="A1:Q16384"/>
    </sheetView>
  </sheetViews>
  <sheetFormatPr defaultColWidth="11.421875" defaultRowHeight="12.75"/>
  <cols>
    <col min="1" max="1" width="4.421875" style="108" bestFit="1" customWidth="1"/>
    <col min="2" max="2" width="12.57421875" style="108" bestFit="1" customWidth="1"/>
    <col min="3" max="3" width="7.140625" style="108" bestFit="1" customWidth="1"/>
    <col min="4" max="5" width="7.57421875" style="108" bestFit="1" customWidth="1"/>
    <col min="6" max="6" width="8.00390625" style="130" bestFit="1" customWidth="1"/>
    <col min="7" max="7" width="6.7109375" style="130" bestFit="1" customWidth="1"/>
    <col min="8" max="8" width="10.421875" style="131" bestFit="1" customWidth="1"/>
    <col min="9" max="9" width="3.57421875" style="89" bestFit="1" customWidth="1"/>
    <col min="10" max="10" width="13.421875" style="108" bestFit="1" customWidth="1"/>
    <col min="11" max="11" width="7.57421875" style="130" bestFit="1" customWidth="1"/>
    <col min="12" max="13" width="6.7109375" style="130" bestFit="1" customWidth="1"/>
    <col min="14" max="14" width="6.8515625" style="130" bestFit="1" customWidth="1"/>
    <col min="15" max="15" width="5.8515625" style="132" bestFit="1" customWidth="1"/>
    <col min="16" max="16" width="8.00390625" style="130" bestFit="1" customWidth="1"/>
    <col min="17" max="17" width="10.421875" style="131" bestFit="1" customWidth="1"/>
    <col min="18" max="16384" width="10.8515625" style="108" customWidth="1"/>
  </cols>
  <sheetData>
    <row r="1" spans="1:17" s="89" customFormat="1" ht="16.5">
      <c r="A1" s="89" t="s">
        <v>0</v>
      </c>
      <c r="C1" s="134" t="s">
        <v>105</v>
      </c>
      <c r="D1" s="135" t="s">
        <v>6</v>
      </c>
      <c r="E1" s="135" t="s">
        <v>7</v>
      </c>
      <c r="F1" s="136" t="s">
        <v>11</v>
      </c>
      <c r="G1" s="136" t="s">
        <v>36</v>
      </c>
      <c r="H1" s="137" t="s">
        <v>37</v>
      </c>
      <c r="I1" s="93" t="s">
        <v>170</v>
      </c>
      <c r="J1" s="94"/>
      <c r="K1" s="94"/>
      <c r="L1" s="94"/>
      <c r="M1" s="94"/>
      <c r="N1" s="94"/>
      <c r="O1" s="95"/>
      <c r="P1" s="96" t="s">
        <v>2</v>
      </c>
      <c r="Q1" s="97" t="s">
        <v>3</v>
      </c>
    </row>
    <row r="2" spans="1:17" s="89" customFormat="1" ht="16.5">
      <c r="A2" s="89" t="s">
        <v>4</v>
      </c>
      <c r="B2" s="89" t="s">
        <v>5</v>
      </c>
      <c r="C2" s="98" t="s">
        <v>4</v>
      </c>
      <c r="D2" s="99"/>
      <c r="E2" s="99"/>
      <c r="F2" s="100"/>
      <c r="G2" s="100"/>
      <c r="H2" s="101"/>
      <c r="I2" s="102" t="s">
        <v>4</v>
      </c>
      <c r="J2" s="103" t="s">
        <v>5</v>
      </c>
      <c r="K2" s="104" t="s">
        <v>11</v>
      </c>
      <c r="L2" s="104" t="s">
        <v>12</v>
      </c>
      <c r="M2" s="104" t="s">
        <v>13</v>
      </c>
      <c r="N2" s="104" t="s">
        <v>171</v>
      </c>
      <c r="O2" s="105" t="s">
        <v>14</v>
      </c>
      <c r="P2" s="106" t="s">
        <v>11</v>
      </c>
      <c r="Q2" s="107"/>
    </row>
    <row r="3" spans="1:17" ht="16.5">
      <c r="A3" s="108">
        <v>11</v>
      </c>
      <c r="B3" s="108" t="s">
        <v>121</v>
      </c>
      <c r="C3" s="109" t="s">
        <v>123</v>
      </c>
      <c r="D3" s="110"/>
      <c r="E3" s="110"/>
      <c r="F3" s="111"/>
      <c r="G3" s="111"/>
      <c r="H3" s="112"/>
      <c r="I3" s="113"/>
      <c r="J3" s="110"/>
      <c r="K3" s="111"/>
      <c r="L3" s="111"/>
      <c r="M3" s="111"/>
      <c r="N3" s="111"/>
      <c r="O3" s="114"/>
      <c r="P3" s="115"/>
      <c r="Q3" s="116">
        <v>0.5520833333333334</v>
      </c>
    </row>
    <row r="4" spans="3:17" ht="21" customHeight="1">
      <c r="C4" s="109">
        <v>49</v>
      </c>
      <c r="D4" s="110" t="s">
        <v>119</v>
      </c>
      <c r="E4" s="110" t="s">
        <v>124</v>
      </c>
      <c r="F4" s="111">
        <v>18.52</v>
      </c>
      <c r="G4" s="111">
        <f>(F4/23*60)</f>
        <v>48.313043478260866</v>
      </c>
      <c r="H4" s="112">
        <v>0.015972222222222224</v>
      </c>
      <c r="I4" s="113"/>
      <c r="J4" s="110"/>
      <c r="K4" s="111"/>
      <c r="L4" s="111" t="s">
        <v>18</v>
      </c>
      <c r="M4" s="111"/>
      <c r="N4" s="111"/>
      <c r="O4" s="114"/>
      <c r="P4" s="115">
        <v>18.52</v>
      </c>
      <c r="Q4" s="116">
        <f>Q3</f>
        <v>0.5520833333333334</v>
      </c>
    </row>
    <row r="5" spans="1:17" ht="21" customHeight="1">
      <c r="A5" s="108" t="s">
        <v>18</v>
      </c>
      <c r="C5" s="109">
        <v>50</v>
      </c>
      <c r="D5" s="110" t="s">
        <v>124</v>
      </c>
      <c r="E5" s="110" t="s">
        <v>125</v>
      </c>
      <c r="F5" s="111">
        <v>22</v>
      </c>
      <c r="G5" s="111">
        <f>(F5/27*60)</f>
        <v>48.888888888888886</v>
      </c>
      <c r="H5" s="112">
        <v>0.01875</v>
      </c>
      <c r="I5" s="113">
        <v>45</v>
      </c>
      <c r="J5" s="110" t="s">
        <v>126</v>
      </c>
      <c r="K5" s="111">
        <v>11.97</v>
      </c>
      <c r="L5" s="111">
        <v>49.99</v>
      </c>
      <c r="M5" s="111">
        <v>49</v>
      </c>
      <c r="N5" s="111"/>
      <c r="O5" s="114">
        <v>1</v>
      </c>
      <c r="P5" s="115">
        <f>(F5-K5)</f>
        <v>10.03</v>
      </c>
      <c r="Q5" s="116">
        <f aca="true" t="shared" si="0" ref="Q5:Q13">(Q4+H4)</f>
        <v>0.5680555555555556</v>
      </c>
    </row>
    <row r="6" spans="3:17" ht="21" customHeight="1">
      <c r="C6" s="109">
        <v>51</v>
      </c>
      <c r="D6" s="110" t="s">
        <v>125</v>
      </c>
      <c r="E6" s="110" t="s">
        <v>127</v>
      </c>
      <c r="F6" s="111">
        <v>6.26</v>
      </c>
      <c r="G6" s="111">
        <f>(F6/8*60)</f>
        <v>46.949999999999996</v>
      </c>
      <c r="H6" s="112">
        <v>0.005555555555555556</v>
      </c>
      <c r="I6" s="113">
        <v>46</v>
      </c>
      <c r="J6" s="110" t="s">
        <v>128</v>
      </c>
      <c r="K6" s="111">
        <v>3.36</v>
      </c>
      <c r="L6" s="111">
        <v>49.99</v>
      </c>
      <c r="M6" s="111">
        <v>48</v>
      </c>
      <c r="N6" s="111"/>
      <c r="O6" s="114">
        <v>1</v>
      </c>
      <c r="P6" s="115">
        <f aca="true" t="shared" si="1" ref="P6:P12">(F6-K6)</f>
        <v>2.9</v>
      </c>
      <c r="Q6" s="116">
        <f t="shared" si="0"/>
        <v>0.5868055555555557</v>
      </c>
    </row>
    <row r="7" spans="3:17" ht="21" customHeight="1">
      <c r="C7" s="109">
        <v>52</v>
      </c>
      <c r="D7" s="110" t="s">
        <v>127</v>
      </c>
      <c r="E7" s="110" t="s">
        <v>129</v>
      </c>
      <c r="F7" s="111">
        <v>26.69</v>
      </c>
      <c r="G7" s="111">
        <f>(F7/32*60)</f>
        <v>50.04375</v>
      </c>
      <c r="H7" s="112">
        <v>0.022222222222222223</v>
      </c>
      <c r="I7" s="113">
        <v>47</v>
      </c>
      <c r="J7" s="110" t="s">
        <v>130</v>
      </c>
      <c r="K7" s="111">
        <v>16.28</v>
      </c>
      <c r="L7" s="111">
        <v>49.99</v>
      </c>
      <c r="M7" s="111">
        <v>48</v>
      </c>
      <c r="N7" s="111"/>
      <c r="O7" s="114">
        <v>5</v>
      </c>
      <c r="P7" s="115">
        <f t="shared" si="1"/>
        <v>10.41</v>
      </c>
      <c r="Q7" s="116">
        <f t="shared" si="0"/>
        <v>0.5923611111111112</v>
      </c>
    </row>
    <row r="8" spans="3:17" ht="21" customHeight="1">
      <c r="C8" s="109">
        <v>53</v>
      </c>
      <c r="D8" s="110" t="s">
        <v>129</v>
      </c>
      <c r="E8" s="110" t="s">
        <v>131</v>
      </c>
      <c r="F8" s="111">
        <v>18.27</v>
      </c>
      <c r="G8" s="111">
        <f>(F8/22*60)</f>
        <v>49.82727272727273</v>
      </c>
      <c r="H8" s="112">
        <v>0.015277777777777777</v>
      </c>
      <c r="I8" s="113">
        <v>48</v>
      </c>
      <c r="J8" s="110" t="s">
        <v>132</v>
      </c>
      <c r="K8" s="111">
        <v>12.32</v>
      </c>
      <c r="L8" s="111">
        <v>49.99</v>
      </c>
      <c r="M8" s="111">
        <v>49</v>
      </c>
      <c r="N8" s="111"/>
      <c r="O8" s="114">
        <v>4</v>
      </c>
      <c r="P8" s="115">
        <f t="shared" si="1"/>
        <v>5.949999999999999</v>
      </c>
      <c r="Q8" s="116">
        <f t="shared" si="0"/>
        <v>0.6145833333333335</v>
      </c>
    </row>
    <row r="9" spans="3:17" ht="21" customHeight="1">
      <c r="C9" s="109">
        <v>54</v>
      </c>
      <c r="D9" s="110" t="s">
        <v>131</v>
      </c>
      <c r="E9" s="110" t="s">
        <v>133</v>
      </c>
      <c r="F9" s="111">
        <v>17.95</v>
      </c>
      <c r="G9" s="111">
        <f>(F9/22*60)</f>
        <v>48.95454545454545</v>
      </c>
      <c r="H9" s="112">
        <v>0.015277777777777777</v>
      </c>
      <c r="I9" s="113">
        <v>49</v>
      </c>
      <c r="J9" s="110" t="s">
        <v>134</v>
      </c>
      <c r="K9" s="111">
        <v>10.04</v>
      </c>
      <c r="L9" s="111">
        <v>49.99</v>
      </c>
      <c r="M9" s="111">
        <v>48</v>
      </c>
      <c r="N9" s="111">
        <v>1.98</v>
      </c>
      <c r="O9" s="114">
        <v>3</v>
      </c>
      <c r="P9" s="115">
        <f t="shared" si="1"/>
        <v>7.91</v>
      </c>
      <c r="Q9" s="116">
        <f t="shared" si="0"/>
        <v>0.6298611111111112</v>
      </c>
    </row>
    <row r="10" spans="3:17" ht="21" customHeight="1">
      <c r="C10" s="109">
        <v>55</v>
      </c>
      <c r="D10" s="110" t="s">
        <v>133</v>
      </c>
      <c r="E10" s="110" t="s">
        <v>135</v>
      </c>
      <c r="F10" s="111">
        <v>58.14</v>
      </c>
      <c r="G10" s="111">
        <f>(F10/69*60)</f>
        <v>50.55652173913043</v>
      </c>
      <c r="H10" s="112">
        <v>0.04791666666666666</v>
      </c>
      <c r="I10" s="113">
        <v>50</v>
      </c>
      <c r="J10" s="110" t="s">
        <v>136</v>
      </c>
      <c r="K10" s="111">
        <v>6.18</v>
      </c>
      <c r="L10" s="111" t="s">
        <v>168</v>
      </c>
      <c r="M10" s="111" t="s">
        <v>168</v>
      </c>
      <c r="N10" s="111"/>
      <c r="O10" s="114">
        <v>6</v>
      </c>
      <c r="P10" s="115">
        <f t="shared" si="1"/>
        <v>51.96</v>
      </c>
      <c r="Q10" s="116">
        <f t="shared" si="0"/>
        <v>0.6451388888888889</v>
      </c>
    </row>
    <row r="11" spans="3:17" ht="21" customHeight="1">
      <c r="C11" s="109">
        <v>56</v>
      </c>
      <c r="D11" s="110" t="s">
        <v>135</v>
      </c>
      <c r="E11" s="110" t="s">
        <v>137</v>
      </c>
      <c r="F11" s="111">
        <v>23.66</v>
      </c>
      <c r="G11" s="111">
        <f>(F11/29*60)</f>
        <v>48.95172413793104</v>
      </c>
      <c r="H11" s="112">
        <v>0.02013888888888889</v>
      </c>
      <c r="I11" s="113">
        <v>51</v>
      </c>
      <c r="J11" s="110" t="s">
        <v>138</v>
      </c>
      <c r="K11" s="111">
        <v>14.4</v>
      </c>
      <c r="L11" s="111" t="s">
        <v>169</v>
      </c>
      <c r="M11" s="111" t="s">
        <v>169</v>
      </c>
      <c r="N11" s="111"/>
      <c r="O11" s="114">
        <v>5</v>
      </c>
      <c r="P11" s="115">
        <f t="shared" si="1"/>
        <v>9.26</v>
      </c>
      <c r="Q11" s="116">
        <f t="shared" si="0"/>
        <v>0.6930555555555555</v>
      </c>
    </row>
    <row r="12" spans="1:17" ht="21" customHeight="1">
      <c r="A12" s="108">
        <v>12</v>
      </c>
      <c r="B12" s="108" t="s">
        <v>15</v>
      </c>
      <c r="C12" s="109">
        <v>57</v>
      </c>
      <c r="D12" s="110" t="s">
        <v>137</v>
      </c>
      <c r="E12" s="110" t="s">
        <v>139</v>
      </c>
      <c r="F12" s="111">
        <v>24.16</v>
      </c>
      <c r="G12" s="111">
        <f>(F12/29*60)</f>
        <v>49.98620689655172</v>
      </c>
      <c r="H12" s="112">
        <v>0.02013888888888889</v>
      </c>
      <c r="I12" s="113">
        <v>52</v>
      </c>
      <c r="J12" s="110" t="s">
        <v>15</v>
      </c>
      <c r="K12" s="111">
        <v>23.77</v>
      </c>
      <c r="L12" s="111">
        <v>49.99</v>
      </c>
      <c r="M12" s="111">
        <v>48</v>
      </c>
      <c r="N12" s="111"/>
      <c r="O12" s="114">
        <v>4</v>
      </c>
      <c r="P12" s="115">
        <f t="shared" si="1"/>
        <v>0.39000000000000057</v>
      </c>
      <c r="Q12" s="116">
        <f t="shared" si="0"/>
        <v>0.7131944444444445</v>
      </c>
    </row>
    <row r="13" spans="3:17" s="89" customFormat="1" ht="16.5">
      <c r="C13" s="113" t="s">
        <v>18</v>
      </c>
      <c r="D13" s="117" t="s">
        <v>18</v>
      </c>
      <c r="E13" s="117" t="s">
        <v>18</v>
      </c>
      <c r="F13" s="118">
        <v>215.65</v>
      </c>
      <c r="G13" s="118">
        <f>(F13/261*60)</f>
        <v>49.57471264367817</v>
      </c>
      <c r="H13" s="112">
        <f>(H4+H5+H6+H7+H8+H9+H10+H11+H12)</f>
        <v>0.18125000000000002</v>
      </c>
      <c r="I13" s="113" t="s">
        <v>18</v>
      </c>
      <c r="J13" s="117"/>
      <c r="K13" s="118">
        <f>SUM(K5:K12)</f>
        <v>98.32</v>
      </c>
      <c r="L13" s="118">
        <v>49.99</v>
      </c>
      <c r="M13" s="118">
        <v>49</v>
      </c>
      <c r="N13" s="118">
        <f>SUM(N5:N12)</f>
        <v>1.98</v>
      </c>
      <c r="O13" s="119">
        <f>SUM(O5:O12)</f>
        <v>29</v>
      </c>
      <c r="P13" s="133">
        <f>SUM(P4:P12)</f>
        <v>117.33000000000001</v>
      </c>
      <c r="Q13" s="116">
        <f t="shared" si="0"/>
        <v>0.7333333333333334</v>
      </c>
    </row>
    <row r="14" spans="3:17" s="89" customFormat="1" ht="16.5" thickBot="1">
      <c r="C14" s="122"/>
      <c r="D14" s="123"/>
      <c r="E14" s="123"/>
      <c r="F14" s="124" t="s">
        <v>18</v>
      </c>
      <c r="G14" s="124"/>
      <c r="H14" s="125" t="s">
        <v>18</v>
      </c>
      <c r="I14" s="122"/>
      <c r="J14" s="123"/>
      <c r="K14" s="126">
        <f>(K13/F13)</f>
        <v>0.4559239508462786</v>
      </c>
      <c r="L14" s="124"/>
      <c r="M14" s="124"/>
      <c r="N14" s="126">
        <f>(N13/K13)</f>
        <v>0.02013832384052075</v>
      </c>
      <c r="O14" s="127"/>
      <c r="P14" s="128">
        <f>(P13/F13)</f>
        <v>0.5440760491537213</v>
      </c>
      <c r="Q14" s="129"/>
    </row>
    <row r="15" spans="1:2" ht="16.5">
      <c r="A15" s="108" t="s">
        <v>18</v>
      </c>
      <c r="B15" s="108" t="s">
        <v>18</v>
      </c>
    </row>
    <row r="16" ht="16.5">
      <c r="H16" s="131" t="s">
        <v>18</v>
      </c>
    </row>
  </sheetData>
  <mergeCells count="1">
    <mergeCell ref="I1:O1"/>
  </mergeCells>
  <printOptions gridLines="1"/>
  <pageMargins left="0.75" right="0.48" top="1.57" bottom="1" header="0.87" footer="0.4921259845"/>
  <pageSetup horizontalDpi="600" verticalDpi="600" orientation="landscape" paperSize="9" r:id="rId1"/>
  <headerFooter alignWithMargins="0">
    <oddHeader>&amp;C&amp;"Arial,Italique"&amp;14étape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T9"/>
  <sheetViews>
    <sheetView workbookViewId="0" topLeftCell="A1">
      <selection activeCell="A1" sqref="A1:IV16384"/>
    </sheetView>
  </sheetViews>
  <sheetFormatPr defaultColWidth="11.421875" defaultRowHeight="12.75"/>
  <cols>
    <col min="1" max="1" width="10.57421875" style="2" customWidth="1"/>
    <col min="2" max="3" width="10.57421875" style="18" customWidth="1"/>
    <col min="4" max="4" width="10.57421875" style="25" customWidth="1"/>
    <col min="5" max="5" width="10.57421875" style="54" customWidth="1"/>
    <col min="6" max="6" width="10.57421875" style="57" customWidth="1"/>
    <col min="7" max="7" width="10.57421875" style="25" customWidth="1"/>
    <col min="8" max="8" width="11.7109375" style="18" bestFit="1" customWidth="1"/>
    <col min="9" max="9" width="11.7109375" style="18" customWidth="1"/>
    <col min="10" max="10" width="10.57421875" style="19" customWidth="1"/>
    <col min="11" max="11" width="10.57421875" style="18" customWidth="1"/>
    <col min="12" max="12" width="10.57421875" style="26" customWidth="1"/>
    <col min="13" max="19" width="10.57421875" style="18" customWidth="1"/>
    <col min="20" max="20" width="10.57421875" style="19" customWidth="1"/>
    <col min="21" max="21" width="10.57421875" style="18" customWidth="1"/>
    <col min="22" max="16384" width="11.421875" style="18" customWidth="1"/>
  </cols>
  <sheetData>
    <row r="1" spans="1:20" s="2" customFormat="1" ht="15">
      <c r="A1" s="4" t="s">
        <v>150</v>
      </c>
      <c r="B1" s="5" t="s">
        <v>140</v>
      </c>
      <c r="C1" s="5" t="s">
        <v>141</v>
      </c>
      <c r="D1" s="6" t="s">
        <v>141</v>
      </c>
      <c r="E1" s="49" t="s">
        <v>171</v>
      </c>
      <c r="F1" s="55" t="s">
        <v>141</v>
      </c>
      <c r="G1" s="6" t="s">
        <v>162</v>
      </c>
      <c r="H1" s="5" t="s">
        <v>142</v>
      </c>
      <c r="I1" s="66" t="s">
        <v>3</v>
      </c>
      <c r="J1" s="66"/>
      <c r="K1" s="5" t="s">
        <v>37</v>
      </c>
      <c r="L1" s="7" t="s">
        <v>143</v>
      </c>
      <c r="T1" s="3"/>
    </row>
    <row r="2" spans="1:20" s="2" customFormat="1" ht="15">
      <c r="A2" s="8"/>
      <c r="B2" s="9" t="s">
        <v>11</v>
      </c>
      <c r="C2" s="9" t="s">
        <v>11</v>
      </c>
      <c r="D2" s="10" t="s">
        <v>144</v>
      </c>
      <c r="E2" s="50" t="s">
        <v>11</v>
      </c>
      <c r="F2" s="56" t="s">
        <v>172</v>
      </c>
      <c r="G2" s="10" t="s">
        <v>10</v>
      </c>
      <c r="H2" s="9" t="s">
        <v>11</v>
      </c>
      <c r="I2" s="11" t="s">
        <v>123</v>
      </c>
      <c r="J2" s="11" t="s">
        <v>122</v>
      </c>
      <c r="K2" s="9"/>
      <c r="L2" s="12"/>
      <c r="T2" s="3"/>
    </row>
    <row r="3" spans="1:12" ht="15">
      <c r="A3" s="13">
        <v>1</v>
      </c>
      <c r="B3" s="14">
        <v>252.39</v>
      </c>
      <c r="C3" s="14">
        <v>99.34</v>
      </c>
      <c r="D3" s="15">
        <f aca="true" t="shared" si="0" ref="D3:D8">(C3/B3)</f>
        <v>0.39359721066603276</v>
      </c>
      <c r="E3" s="51">
        <v>0</v>
      </c>
      <c r="F3" s="58">
        <v>9</v>
      </c>
      <c r="G3" s="32">
        <v>39</v>
      </c>
      <c r="H3" s="14">
        <f aca="true" t="shared" si="1" ref="H3:H8">(B3-C3)</f>
        <v>153.04999999999998</v>
      </c>
      <c r="I3" s="16">
        <v>0.25</v>
      </c>
      <c r="J3" s="16">
        <v>0.475</v>
      </c>
      <c r="K3" s="14" t="s">
        <v>145</v>
      </c>
      <c r="L3" s="17">
        <f>(B3/324*60)</f>
        <v>46.73888888888888</v>
      </c>
    </row>
    <row r="4" spans="1:12" ht="15">
      <c r="A4" s="27">
        <v>2</v>
      </c>
      <c r="B4" s="28">
        <v>429.57</v>
      </c>
      <c r="C4" s="28">
        <v>227.87</v>
      </c>
      <c r="D4" s="29">
        <f t="shared" si="0"/>
        <v>0.5304606932513909</v>
      </c>
      <c r="E4" s="52">
        <v>0.17</v>
      </c>
      <c r="F4" s="59">
        <v>17</v>
      </c>
      <c r="G4" s="33">
        <v>85</v>
      </c>
      <c r="H4" s="28">
        <f t="shared" si="1"/>
        <v>201.7</v>
      </c>
      <c r="I4" s="30">
        <v>0.5208333333333334</v>
      </c>
      <c r="J4" s="30">
        <v>0.8819444444444445</v>
      </c>
      <c r="K4" s="28" t="s">
        <v>146</v>
      </c>
      <c r="L4" s="31">
        <f>(B4/520*60)</f>
        <v>49.565769230769234</v>
      </c>
    </row>
    <row r="5" spans="1:12" ht="15">
      <c r="A5" s="13">
        <v>3</v>
      </c>
      <c r="B5" s="14">
        <v>419.12</v>
      </c>
      <c r="C5" s="14">
        <v>219.46</v>
      </c>
      <c r="D5" s="15">
        <f t="shared" si="0"/>
        <v>0.5236209200229052</v>
      </c>
      <c r="E5" s="51">
        <v>28.89</v>
      </c>
      <c r="F5" s="58">
        <v>12</v>
      </c>
      <c r="G5" s="32">
        <v>62</v>
      </c>
      <c r="H5" s="14">
        <f t="shared" si="1"/>
        <v>199.66</v>
      </c>
      <c r="I5" s="16">
        <v>0.9305555555555555</v>
      </c>
      <c r="J5" s="16">
        <v>0.27638888888888885</v>
      </c>
      <c r="K5" s="14" t="s">
        <v>147</v>
      </c>
      <c r="L5" s="17">
        <f>(B5/498*60)</f>
        <v>50.49638554216868</v>
      </c>
    </row>
    <row r="6" spans="1:12" ht="15">
      <c r="A6" s="27">
        <v>4</v>
      </c>
      <c r="B6" s="28">
        <v>211.73</v>
      </c>
      <c r="C6" s="28">
        <v>67.26</v>
      </c>
      <c r="D6" s="29">
        <f t="shared" si="0"/>
        <v>0.3176687290417041</v>
      </c>
      <c r="E6" s="52">
        <v>0</v>
      </c>
      <c r="F6" s="59">
        <v>6</v>
      </c>
      <c r="G6" s="33">
        <v>16</v>
      </c>
      <c r="H6" s="28">
        <f t="shared" si="1"/>
        <v>144.46999999999997</v>
      </c>
      <c r="I6" s="30">
        <v>0.3263888888888889</v>
      </c>
      <c r="J6" s="30">
        <v>0.5006944444444444</v>
      </c>
      <c r="K6" s="28" t="s">
        <v>148</v>
      </c>
      <c r="L6" s="31">
        <f>(B6/251*60)</f>
        <v>50.612749003984064</v>
      </c>
    </row>
    <row r="7" spans="1:12" ht="15">
      <c r="A7" s="13">
        <v>5</v>
      </c>
      <c r="B7" s="14">
        <v>215.65</v>
      </c>
      <c r="C7" s="14">
        <v>98.32</v>
      </c>
      <c r="D7" s="15">
        <f t="shared" si="0"/>
        <v>0.4559239508462786</v>
      </c>
      <c r="E7" s="51">
        <v>1.98</v>
      </c>
      <c r="F7" s="58">
        <v>8</v>
      </c>
      <c r="G7" s="32">
        <v>29</v>
      </c>
      <c r="H7" s="14">
        <f t="shared" si="1"/>
        <v>117.33000000000001</v>
      </c>
      <c r="I7" s="16">
        <v>0.5520833333333334</v>
      </c>
      <c r="J7" s="16">
        <v>0.7333333333333334</v>
      </c>
      <c r="K7" s="14" t="s">
        <v>149</v>
      </c>
      <c r="L7" s="17">
        <f>(B7/261*60)</f>
        <v>49.57471264367817</v>
      </c>
    </row>
    <row r="8" spans="1:20" s="2" customFormat="1" ht="15.75" thickBot="1">
      <c r="A8" s="20"/>
      <c r="B8" s="21">
        <f>SUM(B3:B7)</f>
        <v>1528.46</v>
      </c>
      <c r="C8" s="21">
        <v>706.51</v>
      </c>
      <c r="D8" s="22">
        <f t="shared" si="0"/>
        <v>0.4622364994831399</v>
      </c>
      <c r="E8" s="53">
        <f>SUM(E3:E7)</f>
        <v>31.040000000000003</v>
      </c>
      <c r="F8" s="34">
        <f>SUM(F3:F7)</f>
        <v>52</v>
      </c>
      <c r="G8" s="34">
        <f>SUM(G3:G7)</f>
        <v>231</v>
      </c>
      <c r="H8" s="21">
        <f t="shared" si="1"/>
        <v>821.95</v>
      </c>
      <c r="I8" s="21"/>
      <c r="J8" s="23" t="s">
        <v>18</v>
      </c>
      <c r="K8" s="21"/>
      <c r="L8" s="24"/>
      <c r="T8" s="3"/>
    </row>
    <row r="9" ht="15">
      <c r="C9" s="18" t="s">
        <v>18</v>
      </c>
    </row>
  </sheetData>
  <mergeCells count="1">
    <mergeCell ref="I1:J1"/>
  </mergeCells>
  <printOptions horizontalCentered="1"/>
  <pageMargins left="0.47" right="0.4724409448818898" top="2.0078740157480315" bottom="0.984251968503937" header="1.062992125984252" footer="0.5118110236220472"/>
  <pageSetup horizontalDpi="600" verticalDpi="600" orientation="landscape" paperSize="9" r:id="rId1"/>
  <headerFooter alignWithMargins="0">
    <oddHeader>&amp;LMarathon des Alpes 2011&amp;CDécoupage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EB</cp:lastModifiedBy>
  <cp:lastPrinted>2011-07-10T21:29:25Z</cp:lastPrinted>
  <dcterms:created xsi:type="dcterms:W3CDTF">1996-10-21T11:03:58Z</dcterms:created>
  <dcterms:modified xsi:type="dcterms:W3CDTF">2011-07-10T21:29:29Z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2060</vt:i4>
  </property>
</Properties>
</file>